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6" windowHeight="7620"/>
  </bookViews>
  <sheets>
    <sheet name="Claim Form" sheetId="10" r:id="rId1"/>
    <sheet name="Receipts" sheetId="11" r:id="rId2"/>
    <sheet name="Sheet1" sheetId="12" state="hidden" r:id="rId3"/>
    <sheet name="Lists and Rates" sheetId="13" state="hidden" r:id="rId4"/>
  </sheets>
  <definedNames>
    <definedName name="engine">'Lists and Rates'!$A$2:$A$4</definedName>
    <definedName name="KMSorMiles">'Lists and Rates'!$C$2:$C$3</definedName>
    <definedName name="_xlnm.Print_Area" localSheetId="0">'Claim Form'!$A$1:$O$48</definedName>
    <definedName name="rate">'Lists and Rates'!$T$4:$Y$15</definedName>
    <definedName name="ReturnJourney">'Lists and Rates'!$B$2:$B$3</definedName>
    <definedName name="SubsistanceDef">'Lists and Rates'!$D$5:$D$13</definedName>
    <definedName name="SubsistanceRates">'Lists and Rates'!$D$5:$I$13</definedName>
  </definedNames>
  <calcPr calcId="145621"/>
</workbook>
</file>

<file path=xl/calcChain.xml><?xml version="1.0" encoding="utf-8"?>
<calcChain xmlns="http://schemas.openxmlformats.org/spreadsheetml/2006/main">
  <c r="I13" i="13" l="1"/>
  <c r="I12" i="13"/>
  <c r="I8" i="13"/>
  <c r="B38" i="10" l="1"/>
  <c r="F39" i="10"/>
  <c r="P14" i="13"/>
  <c r="P13" i="13"/>
  <c r="E15" i="10" l="1"/>
  <c r="E16" i="10"/>
  <c r="E17" i="10"/>
  <c r="E18" i="10"/>
  <c r="E19" i="10"/>
  <c r="E20" i="10"/>
  <c r="E21" i="10"/>
  <c r="E22" i="10"/>
  <c r="E23" i="10"/>
  <c r="E24" i="10"/>
  <c r="C13" i="10"/>
  <c r="E13" i="10" s="1"/>
  <c r="C14" i="10"/>
  <c r="E14" i="10" s="1"/>
  <c r="C15" i="10"/>
  <c r="C16" i="10"/>
  <c r="C17" i="10"/>
  <c r="C18" i="10"/>
  <c r="C19" i="10"/>
  <c r="C20" i="10"/>
  <c r="C21" i="10"/>
  <c r="C22" i="10"/>
  <c r="C23" i="10"/>
  <c r="C24" i="10"/>
  <c r="K13" i="10" l="1"/>
  <c r="K14" i="10"/>
  <c r="K15" i="10"/>
  <c r="K16" i="10"/>
  <c r="K17" i="10"/>
  <c r="K18" i="10"/>
  <c r="K19" i="10"/>
  <c r="K20" i="10"/>
  <c r="K21" i="10"/>
  <c r="K22" i="10"/>
  <c r="K23" i="10"/>
  <c r="K24" i="10"/>
  <c r="F12" i="13"/>
  <c r="G12" i="13"/>
  <c r="H12" i="13"/>
  <c r="F13" i="13"/>
  <c r="G13" i="13"/>
  <c r="H13" i="13"/>
  <c r="E13" i="13"/>
  <c r="E12" i="13"/>
  <c r="H8" i="13" l="1"/>
  <c r="V1" i="13" l="1"/>
  <c r="W2" i="13"/>
  <c r="V2" i="13" l="1"/>
  <c r="Q14" i="13" s="1"/>
  <c r="W1" i="13"/>
  <c r="Q13" i="13" s="1"/>
  <c r="A26" i="10" l="1"/>
  <c r="F6" i="10" s="1"/>
  <c r="G8" i="13" l="1"/>
  <c r="F8" i="13"/>
  <c r="F27" i="10"/>
  <c r="J6" i="12" l="1"/>
  <c r="J7" i="12"/>
  <c r="J8" i="12"/>
  <c r="J9" i="12"/>
  <c r="J10" i="12"/>
  <c r="J11" i="12"/>
  <c r="C4" i="12"/>
  <c r="F4" i="12" s="1"/>
  <c r="C5" i="12"/>
  <c r="J5" i="12" s="1"/>
  <c r="C3" i="12"/>
  <c r="J3" i="12" s="1"/>
  <c r="H28" i="10"/>
  <c r="Q2" i="13" s="1"/>
  <c r="Q7" i="13" s="1"/>
  <c r="Q9" i="13" l="1"/>
  <c r="H39" i="10" s="1"/>
  <c r="Q11" i="13"/>
  <c r="H29" i="10" s="1"/>
  <c r="F3" i="12"/>
  <c r="G3" i="12"/>
  <c r="J4" i="12"/>
  <c r="G5" i="12"/>
  <c r="F5" i="12"/>
  <c r="G4" i="12"/>
  <c r="G28" i="10" l="1"/>
  <c r="P2" i="13" s="1"/>
  <c r="P7" i="13" s="1"/>
  <c r="P11" i="13" l="1"/>
  <c r="G29" i="10" s="1"/>
  <c r="P9" i="13"/>
  <c r="E39" i="10" s="1"/>
  <c r="I25" i="10" l="1"/>
  <c r="E38" i="10" s="1"/>
  <c r="K25" i="10"/>
  <c r="E31" i="10" s="1"/>
  <c r="N25" i="10"/>
  <c r="E34" i="10" s="1"/>
  <c r="M25" i="10"/>
  <c r="E33" i="10" s="1"/>
  <c r="I12" i="10"/>
  <c r="L21" i="10" s="1"/>
  <c r="L14" i="10" l="1"/>
  <c r="L20" i="10"/>
  <c r="L19" i="10"/>
  <c r="L16" i="10"/>
  <c r="L15" i="10"/>
  <c r="L13" i="10"/>
  <c r="L22" i="10"/>
  <c r="L17" i="10"/>
  <c r="L23" i="10"/>
  <c r="L18" i="10"/>
  <c r="L24" i="10"/>
  <c r="E25" i="10"/>
  <c r="L25" i="10" l="1"/>
  <c r="E32" i="10" s="1"/>
  <c r="E36" i="10" s="1"/>
</calcChain>
</file>

<file path=xl/sharedStrings.xml><?xml version="1.0" encoding="utf-8"?>
<sst xmlns="http://schemas.openxmlformats.org/spreadsheetml/2006/main" count="160" uniqueCount="139">
  <si>
    <t>From</t>
  </si>
  <si>
    <t>To</t>
  </si>
  <si>
    <t>Totals:</t>
  </si>
  <si>
    <t>Date:…../………/………..</t>
  </si>
  <si>
    <t>Certifying Officer</t>
  </si>
  <si>
    <t>Summary of work carried out</t>
  </si>
  <si>
    <t xml:space="preserve">     I certify that (a) the allowances claimed in this account are in strict accordance with the scales sanctioned; (b) the expenses </t>
  </si>
  <si>
    <t xml:space="preserve">     charged have been actually and necessarily disbursed solely in relation to the public service on which I am engaged, and</t>
  </si>
  <si>
    <t xml:space="preserve">     I hereby certify that I have examined this claim for expenses; I am satisfied that the journeys set out were necessarily  </t>
  </si>
  <si>
    <t xml:space="preserve">     performed in the discharge of the officer's duties and that the mileages shown are correct.</t>
  </si>
  <si>
    <t>Claimant</t>
  </si>
  <si>
    <t xml:space="preserve">     (c) the particulars furnished herein are in all respects true.</t>
  </si>
  <si>
    <t>€</t>
  </si>
  <si>
    <t>CHECKED BY TRAVEL CO-ORDINATOR:………………………………………………………………..</t>
  </si>
  <si>
    <t>Please submit to Travel Co-ordinator on making a claim.</t>
  </si>
  <si>
    <t>Bus/Train/Taxi/ other (Receipts attached)</t>
  </si>
  <si>
    <t>Name:</t>
  </si>
  <si>
    <t xml:space="preserve">Car Reg. No.: </t>
  </si>
  <si>
    <t>Rate</t>
  </si>
  <si>
    <t xml:space="preserve">From </t>
  </si>
  <si>
    <t xml:space="preserve">To </t>
  </si>
  <si>
    <t>Subsistence</t>
  </si>
  <si>
    <t>Y/N</t>
  </si>
  <si>
    <t>Other, Parking, Tolls Receipts attached)</t>
  </si>
  <si>
    <t xml:space="preserve">Certification </t>
  </si>
  <si>
    <t>Grade</t>
  </si>
  <si>
    <t>Personnel No.</t>
  </si>
  <si>
    <t>Cubic Capacity</t>
  </si>
  <si>
    <t>Return Journey</t>
  </si>
  <si>
    <t>Totals</t>
  </si>
  <si>
    <t>Amounts</t>
  </si>
  <si>
    <t>Total Subsistence claimed</t>
  </si>
  <si>
    <t>Total Parking Tolls Claimed</t>
  </si>
  <si>
    <t>Bus/Train/Taxi/Other Claimed</t>
  </si>
  <si>
    <t>Overall total</t>
  </si>
  <si>
    <t>Complete all green sections</t>
  </si>
  <si>
    <t>Cost Centre</t>
  </si>
  <si>
    <t>Date Left:</t>
  </si>
  <si>
    <t>Date Returned</t>
  </si>
  <si>
    <t>Time left</t>
  </si>
  <si>
    <t>Time Returned</t>
  </si>
  <si>
    <t xml:space="preserve">     Signed:……………………….</t>
  </si>
  <si>
    <t>Approved By</t>
  </si>
  <si>
    <t>………………………………………………………………………………..</t>
  </si>
  <si>
    <t>Date</t>
  </si>
  <si>
    <t>………………………………………..</t>
  </si>
  <si>
    <t>Total Mileage Claimed</t>
  </si>
  <si>
    <t>To Be Completed by Travel Administration</t>
  </si>
  <si>
    <t>AUTHORISED BY:………………………………………………………………………………………………………</t>
  </si>
  <si>
    <t>Subsistence Category</t>
  </si>
  <si>
    <t>Mileage</t>
  </si>
  <si>
    <t>Official motor travel in a calendar year</t>
  </si>
  <si>
    <r>
      <t xml:space="preserve">            </t>
    </r>
    <r>
      <rPr>
        <b/>
        <u/>
        <sz val="20"/>
        <rFont val="Arial"/>
        <family val="2"/>
      </rPr>
      <t>ACCOUNT OF MILEAGE &amp; SUBSISTENCE: (IRELAND)</t>
    </r>
  </si>
  <si>
    <t xml:space="preserve">     Signed: ……………………………………………………………………..</t>
  </si>
  <si>
    <t>Journey</t>
  </si>
  <si>
    <t xml:space="preserve">Year to date subsistence claims </t>
  </si>
  <si>
    <t>Year to date other travel costs claimed</t>
  </si>
  <si>
    <t>Employee Home Address</t>
  </si>
  <si>
    <t>Initals (Block Capitals) ……………………………………….</t>
  </si>
  <si>
    <t>Initals</t>
  </si>
  <si>
    <t xml:space="preserve">            …………………………………</t>
  </si>
  <si>
    <t>Month for which claim is being made</t>
  </si>
  <si>
    <t>Distance</t>
  </si>
  <si>
    <t>Claim being made in</t>
  </si>
  <si>
    <t>Employee Work Address</t>
  </si>
  <si>
    <t>Engine CC</t>
  </si>
  <si>
    <t>0 to 1200 CC</t>
  </si>
  <si>
    <t>1200 to 1500 CC</t>
  </si>
  <si>
    <t>1500 CC and over</t>
  </si>
  <si>
    <t>Travel Band</t>
  </si>
  <si>
    <t>Rate calculator</t>
  </si>
  <si>
    <t>Band 1 0 to 1200 CC</t>
  </si>
  <si>
    <t>Band 2 0 to 1200 CC</t>
  </si>
  <si>
    <t>Band 4 0 to 1200 CC</t>
  </si>
  <si>
    <t>Band 1 1200 to 1500 CC</t>
  </si>
  <si>
    <t>Band 2 1200 to 1500 CC</t>
  </si>
  <si>
    <t>Band 3 1200 to 1500 CC</t>
  </si>
  <si>
    <t>Band 4 1200 to 1500 CC</t>
  </si>
  <si>
    <t>Band 1 1500 CC and over</t>
  </si>
  <si>
    <t>Band 2 1500 CC and over</t>
  </si>
  <si>
    <t>Band 3 1500 CC and over</t>
  </si>
  <si>
    <t>Band 4 1500 CC and over</t>
  </si>
  <si>
    <t>Next Band</t>
  </si>
  <si>
    <t>Next Rate</t>
  </si>
  <si>
    <t>Next rate</t>
  </si>
  <si>
    <t>Limit</t>
  </si>
  <si>
    <t>Up to</t>
  </si>
  <si>
    <t>a</t>
  </si>
  <si>
    <t>b</t>
  </si>
  <si>
    <t>c</t>
  </si>
  <si>
    <t>Claim</t>
  </si>
  <si>
    <t>Prev Claim</t>
  </si>
  <si>
    <t>limit 1</t>
  </si>
  <si>
    <t>limit 2</t>
  </si>
  <si>
    <t>d</t>
  </si>
  <si>
    <t>amount over limit</t>
  </si>
  <si>
    <t>amount less than limit</t>
  </si>
  <si>
    <t>r1</t>
  </si>
  <si>
    <t>r2</t>
  </si>
  <si>
    <t>Prev Claims</t>
  </si>
  <si>
    <t>=IF(C3&gt;=D3,B3,IF(B3+C3&lt;D3,0,B3+C3-D3))*$K$2+(B3-IF(C3&gt;=D3,B3,IF(B3+C3&lt;D3,0,B3+C3-D3)))*$J$2</t>
  </si>
  <si>
    <t>if(runningPrevClaim&gt;=Limit,Claim,if(Claim+RPC&lt;limit,0,Claim+RPC-limit)*rate1+(claim-runningPrevClaim&gt;=Limit,Claim,if(Claim+RPC&lt;limit,0,Claim+RPC-limit)*rate2</t>
  </si>
  <si>
    <t>DOMESTIC SUBSISTENCE ALLOWANCES</t>
  </si>
  <si>
    <t xml:space="preserve"> (Ref Circular 016/2019) effective 1st July 2019 up to 30th November 2021</t>
  </si>
  <si>
    <t xml:space="preserve"> (Ref Circular 039/2019) effective 1st December 2021</t>
  </si>
  <si>
    <t>Daily subsistence 5 hour</t>
  </si>
  <si>
    <t>Daily subsistence 10 hour</t>
  </si>
  <si>
    <t>Overnight</t>
  </si>
  <si>
    <t xml:space="preserve">Reduced Overnight </t>
  </si>
  <si>
    <t>SubsistanceRates</t>
  </si>
  <si>
    <t>Add new rated here with effective date above</t>
  </si>
  <si>
    <t>SubsistenceDefinitions</t>
  </si>
  <si>
    <t>ReturnJourney</t>
  </si>
  <si>
    <t>No</t>
  </si>
  <si>
    <t>Yes</t>
  </si>
  <si>
    <t>…………………</t>
  </si>
  <si>
    <t xml:space="preserve">Date: </t>
  </si>
  <si>
    <t>Phone : ………</t>
  </si>
  <si>
    <t>KMSorMiles</t>
  </si>
  <si>
    <t>KMs</t>
  </si>
  <si>
    <t>No Subsistence</t>
  </si>
  <si>
    <t>Band 3 0 to 1200 CC</t>
  </si>
  <si>
    <t>Min date entered</t>
  </si>
  <si>
    <t>offset</t>
  </si>
  <si>
    <t>Max Offset</t>
  </si>
  <si>
    <t>Min Offset</t>
  </si>
  <si>
    <t>Max date entered</t>
  </si>
  <si>
    <t xml:space="preserve"> (Ref Circular 026/2022) effective 1st Sept 2022</t>
  </si>
  <si>
    <t>Overnight + 5 hours</t>
  </si>
  <si>
    <t>Overnight + 10 hours</t>
  </si>
  <si>
    <t>Overnight Vouched Accomodation (Dublin only)</t>
  </si>
  <si>
    <t>Detention Rate Overnight</t>
  </si>
  <si>
    <t>Time away from HQ (hrs)</t>
  </si>
  <si>
    <t>Paste images of any receipts to this page</t>
  </si>
  <si>
    <t>AA</t>
  </si>
  <si>
    <t>A</t>
  </si>
  <si>
    <t>Circular 027/2023</t>
  </si>
  <si>
    <t>Domestic Ass Rate Changes</t>
  </si>
  <si>
    <r>
      <t xml:space="preserve">Travel &amp; Subsistence claim form updated January 2024. </t>
    </r>
    <r>
      <rPr>
        <i/>
        <sz val="12"/>
        <color rgb="FFFF0000"/>
        <rFont val="Arial"/>
        <family val="2"/>
      </rPr>
      <t xml:space="preserve"> (Circular 016/2019 valid up to 30th November 2021.  Circular 039/2021 effective from 1st December 2021 Circular 026/2022 &amp; 027/2022 effective 01/09/2022 for travel and Night rate changes &amp; Circular 027/2023 effective from 14.12.2023 subsistence rate change)
</t>
    </r>
    <r>
      <rPr>
        <b/>
        <i/>
        <sz val="12"/>
        <color rgb="FFFF0000"/>
        <rFont val="Arial"/>
        <family val="2"/>
      </rPr>
      <t>When completing this claim form</t>
    </r>
    <r>
      <rPr>
        <i/>
        <sz val="12"/>
        <color rgb="FFFF0000"/>
        <rFont val="Arial"/>
        <family val="2"/>
      </rPr>
      <t xml:space="preserve">, Please ensure to update Official Motor Travel this Calendar year section to ensure correct calculation of mileage based on Cubic Capacity of vehicle.  For all areas using Employee Self Service – please ensure to enter your T&amp;S claims through the correct expense type available on ESS.
Please ensure your Travel Privilege Documents are valid, i.e., Insurance Certificate, Letter of Indemnity, Vehicle Licensing Certificate and Employee Declaration to Travel documents.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</si>
</sst>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quot;€&quot;#,##0.00"/>
    <numFmt numFmtId="166" formatCode="hh:mm:ss;@"/>
    <numFmt numFmtId="167" formatCode="dd/mm/yyyy;@"/>
    <numFmt numFmtId="168" formatCode="_([$€]* #,##0.00_);_([$€]* \(#,##0.00\);_([$€]* &quot;-&quot;??_);_(@_)"/>
    <numFmt numFmtId="169" formatCode="_-[$€-1809]* #,##0.00_-;\-[$€-1809]* #,##0.00_-;_-[$€-1809]* &quot;-&quot;??_-;_-@_-"/>
    <numFmt numFmtId="170" formatCode="#,##0.00_ ;\-#,##0.00\ "/>
    <numFmt numFmtId="171" formatCode="0.00_ ;\-0.00\ "/>
    <numFmt numFmtId="172" formatCode="0.0"/>
  </numFmts>
  <fonts count="39" x14ac:knownFonts="1">
    <font>
      <sz val="10"/>
      <name val="Arial"/>
    </font>
    <font>
      <sz val="10"/>
      <name val="Arial"/>
      <family val="2"/>
    </font>
    <font>
      <b/>
      <sz val="10"/>
      <name val="Arial"/>
      <family val="2"/>
    </font>
    <font>
      <sz val="12"/>
      <name val="Arial"/>
      <family val="2"/>
    </font>
    <font>
      <b/>
      <sz val="12"/>
      <name val="Arial"/>
      <family val="2"/>
    </font>
    <font>
      <b/>
      <sz val="16"/>
      <name val="Arial"/>
      <family val="2"/>
    </font>
    <font>
      <u/>
      <sz val="10"/>
      <color indexed="12"/>
      <name val="Arial"/>
      <family val="2"/>
    </font>
    <font>
      <b/>
      <sz val="12"/>
      <color indexed="10"/>
      <name val="Arial"/>
      <family val="2"/>
    </font>
    <font>
      <b/>
      <i/>
      <sz val="12"/>
      <name val="Arial"/>
      <family val="2"/>
    </font>
    <font>
      <b/>
      <u/>
      <sz val="12"/>
      <color indexed="10"/>
      <name val="Arial"/>
      <family val="2"/>
    </font>
    <font>
      <b/>
      <i/>
      <u/>
      <sz val="12"/>
      <name val="Arial"/>
      <family val="2"/>
    </font>
    <font>
      <sz val="16"/>
      <name val="Arial"/>
      <family val="2"/>
    </font>
    <font>
      <b/>
      <i/>
      <sz val="16"/>
      <name val="Arial"/>
      <family val="2"/>
    </font>
    <font>
      <sz val="14"/>
      <name val="Arial"/>
      <family val="2"/>
    </font>
    <font>
      <b/>
      <i/>
      <sz val="14"/>
      <color indexed="10"/>
      <name val="Arial"/>
      <family val="2"/>
    </font>
    <font>
      <b/>
      <sz val="14"/>
      <color indexed="10"/>
      <name val="Arial"/>
      <family val="2"/>
    </font>
    <font>
      <b/>
      <sz val="14"/>
      <name val="Arial"/>
      <family val="2"/>
    </font>
    <font>
      <b/>
      <i/>
      <sz val="14"/>
      <name val="Arial"/>
      <family val="2"/>
    </font>
    <font>
      <u/>
      <sz val="14"/>
      <color indexed="12"/>
      <name val="Arial"/>
      <family val="2"/>
    </font>
    <font>
      <b/>
      <u/>
      <sz val="14"/>
      <name val="Arial"/>
      <family val="2"/>
    </font>
    <font>
      <b/>
      <i/>
      <u/>
      <sz val="16"/>
      <name val="Arial"/>
      <family val="2"/>
    </font>
    <font>
      <b/>
      <sz val="16"/>
      <color indexed="10"/>
      <name val="Arial"/>
      <family val="2"/>
    </font>
    <font>
      <b/>
      <sz val="18"/>
      <name val="Arial"/>
      <family val="2"/>
    </font>
    <font>
      <sz val="18"/>
      <name val="Arial"/>
      <family val="2"/>
    </font>
    <font>
      <b/>
      <sz val="20"/>
      <name val="Arial"/>
      <family val="2"/>
    </font>
    <font>
      <b/>
      <u/>
      <sz val="20"/>
      <name val="Arial"/>
      <family val="2"/>
    </font>
    <font>
      <b/>
      <sz val="11"/>
      <name val="Arial"/>
      <family val="2"/>
    </font>
    <font>
      <b/>
      <i/>
      <sz val="16"/>
      <color indexed="48"/>
      <name val="Arial"/>
      <family val="2"/>
    </font>
    <font>
      <b/>
      <i/>
      <sz val="12"/>
      <color indexed="10"/>
      <name val="Arial"/>
      <family val="2"/>
    </font>
    <font>
      <u/>
      <sz val="14"/>
      <name val="Arial"/>
      <family val="2"/>
    </font>
    <font>
      <b/>
      <sz val="12"/>
      <color rgb="FFFF0000"/>
      <name val="Arial"/>
      <family val="2"/>
    </font>
    <font>
      <sz val="10"/>
      <name val="Arial"/>
      <family val="2"/>
    </font>
    <font>
      <b/>
      <sz val="11"/>
      <color rgb="FFFA7D00"/>
      <name val="Calibri"/>
      <family val="2"/>
      <scheme val="minor"/>
    </font>
    <font>
      <b/>
      <sz val="11"/>
      <color theme="1"/>
      <name val="Calibri"/>
      <family val="2"/>
      <scheme val="minor"/>
    </font>
    <font>
      <b/>
      <sz val="16"/>
      <color rgb="FFFA7D00"/>
      <name val="Calibri"/>
      <family val="2"/>
      <scheme val="minor"/>
    </font>
    <font>
      <b/>
      <sz val="18"/>
      <color rgb="FFFF0000"/>
      <name val="Arial"/>
      <family val="2"/>
    </font>
    <font>
      <b/>
      <i/>
      <sz val="12"/>
      <color rgb="FFFF0000"/>
      <name val="Arial"/>
      <family val="2"/>
    </font>
    <font>
      <i/>
      <sz val="12"/>
      <color rgb="FFFF0000"/>
      <name val="Arial"/>
      <family val="2"/>
    </font>
    <font>
      <b/>
      <sz val="16"/>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rgb="FFF2F2F2"/>
      </patternFill>
    </fill>
    <fill>
      <patternFill patternType="solid">
        <fgColor rgb="FFFFFF00"/>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168" fontId="1" fillId="0" borderId="0" applyFont="0" applyFill="0" applyBorder="0" applyAlignment="0" applyProtection="0"/>
    <xf numFmtId="0" fontId="6" fillId="0" borderId="0" applyNumberFormat="0" applyFill="0" applyBorder="0" applyAlignment="0" applyProtection="0">
      <alignment vertical="top"/>
      <protection locked="0"/>
    </xf>
    <xf numFmtId="43" fontId="31" fillId="0" borderId="0" applyFont="0" applyFill="0" applyBorder="0" applyAlignment="0" applyProtection="0"/>
    <xf numFmtId="0" fontId="32" fillId="7" borderId="34" applyNumberFormat="0" applyAlignment="0" applyProtection="0"/>
  </cellStyleXfs>
  <cellXfs count="287">
    <xf numFmtId="0" fontId="0" fillId="0" borderId="0" xfId="0"/>
    <xf numFmtId="0" fontId="3" fillId="0" borderId="0" xfId="0" applyFont="1"/>
    <xf numFmtId="0" fontId="5" fillId="0" borderId="0" xfId="0" applyFont="1"/>
    <xf numFmtId="4" fontId="3" fillId="0" borderId="0" xfId="0" applyNumberFormat="1" applyFont="1"/>
    <xf numFmtId="4" fontId="4" fillId="2" borderId="1" xfId="0" applyNumberFormat="1" applyFont="1" applyFill="1" applyBorder="1" applyAlignment="1">
      <alignment horizontal="center"/>
    </xf>
    <xf numFmtId="0" fontId="4" fillId="2" borderId="2" xfId="0" applyFont="1" applyFill="1" applyBorder="1" applyAlignment="1">
      <alignment horizontal="center"/>
    </xf>
    <xf numFmtId="15" fontId="3" fillId="0" borderId="0" xfId="0" applyNumberFormat="1" applyFont="1"/>
    <xf numFmtId="0" fontId="4" fillId="0" borderId="0" xfId="0" applyFont="1"/>
    <xf numFmtId="4" fontId="4" fillId="2" borderId="1" xfId="0" applyNumberFormat="1" applyFont="1" applyFill="1" applyBorder="1" applyAlignment="1">
      <alignment horizontal="center" wrapText="1"/>
    </xf>
    <xf numFmtId="0" fontId="8" fillId="0" borderId="0" xfId="0" applyFont="1"/>
    <xf numFmtId="0" fontId="4" fillId="2" borderId="1" xfId="0" applyFont="1" applyFill="1" applyBorder="1" applyAlignment="1">
      <alignment horizontal="center"/>
    </xf>
    <xf numFmtId="0" fontId="4" fillId="2" borderId="3" xfId="0" applyFont="1" applyFill="1" applyBorder="1" applyAlignment="1">
      <alignment horizontal="center"/>
    </xf>
    <xf numFmtId="15" fontId="4" fillId="2" borderId="1" xfId="0" applyNumberFormat="1" applyFont="1" applyFill="1" applyBorder="1"/>
    <xf numFmtId="15" fontId="4" fillId="2" borderId="4" xfId="0" applyNumberFormat="1" applyFont="1" applyFill="1" applyBorder="1"/>
    <xf numFmtId="15" fontId="4" fillId="2" borderId="5" xfId="0" applyNumberFormat="1" applyFont="1" applyFill="1" applyBorder="1"/>
    <xf numFmtId="15" fontId="9" fillId="0" borderId="0" xfId="0" applyNumberFormat="1" applyFont="1"/>
    <xf numFmtId="4" fontId="4" fillId="0" borderId="0" xfId="0" applyNumberFormat="1" applyFont="1"/>
    <xf numFmtId="4" fontId="7" fillId="2" borderId="1" xfId="0" applyNumberFormat="1" applyFont="1" applyFill="1" applyBorder="1" applyAlignment="1">
      <alignment horizontal="center"/>
    </xf>
    <xf numFmtId="4" fontId="7" fillId="3" borderId="0" xfId="0" applyNumberFormat="1" applyFont="1" applyFill="1" applyBorder="1"/>
    <xf numFmtId="15" fontId="3" fillId="0" borderId="0" xfId="0" applyNumberFormat="1" applyFont="1" applyBorder="1"/>
    <xf numFmtId="4" fontId="11" fillId="0" borderId="0" xfId="0" applyNumberFormat="1" applyFont="1"/>
    <xf numFmtId="4" fontId="5" fillId="0" borderId="0" xfId="0" applyNumberFormat="1" applyFont="1"/>
    <xf numFmtId="15" fontId="12" fillId="0" borderId="0" xfId="0" applyNumberFormat="1" applyFont="1"/>
    <xf numFmtId="4" fontId="5" fillId="0" borderId="0" xfId="0" applyNumberFormat="1" applyFont="1" applyAlignment="1"/>
    <xf numFmtId="0" fontId="11" fillId="0" borderId="0" xfId="0" applyFont="1" applyAlignment="1"/>
    <xf numFmtId="4" fontId="13" fillId="3" borderId="6" xfId="0" applyNumberFormat="1" applyFont="1" applyFill="1" applyBorder="1"/>
    <xf numFmtId="4" fontId="13" fillId="3" borderId="0" xfId="0" applyNumberFormat="1" applyFont="1" applyFill="1" applyBorder="1"/>
    <xf numFmtId="4" fontId="14" fillId="3" borderId="6" xfId="0" applyNumberFormat="1" applyFont="1" applyFill="1" applyBorder="1"/>
    <xf numFmtId="4" fontId="15" fillId="3" borderId="0" xfId="0" applyNumberFormat="1" applyFont="1" applyFill="1" applyBorder="1"/>
    <xf numFmtId="4" fontId="16" fillId="3" borderId="6" xfId="0" applyNumberFormat="1" applyFont="1" applyFill="1" applyBorder="1"/>
    <xf numFmtId="4" fontId="16" fillId="3" borderId="0" xfId="0" applyNumberFormat="1" applyFont="1" applyFill="1" applyBorder="1" applyAlignment="1">
      <alignment horizontal="center" vertical="top"/>
    </xf>
    <xf numFmtId="4" fontId="16" fillId="3" borderId="0" xfId="0" applyNumberFormat="1" applyFont="1" applyFill="1" applyBorder="1"/>
    <xf numFmtId="4" fontId="13" fillId="0" borderId="6" xfId="0" applyNumberFormat="1" applyFont="1" applyBorder="1"/>
    <xf numFmtId="4" fontId="13" fillId="3" borderId="0" xfId="0" applyNumberFormat="1" applyFont="1" applyFill="1" applyBorder="1" applyAlignment="1">
      <alignment horizontal="center" vertical="top"/>
    </xf>
    <xf numFmtId="15" fontId="16" fillId="0" borderId="0" xfId="0" applyNumberFormat="1" applyFont="1"/>
    <xf numFmtId="0" fontId="16" fillId="0" borderId="0" xfId="0" applyFont="1"/>
    <xf numFmtId="0" fontId="17" fillId="3" borderId="0" xfId="0" applyFont="1" applyFill="1" applyBorder="1"/>
    <xf numFmtId="0" fontId="13" fillId="0" borderId="0" xfId="0" applyFont="1" applyBorder="1" applyAlignment="1">
      <alignment horizontal="center" wrapText="1"/>
    </xf>
    <xf numFmtId="4" fontId="13" fillId="0" borderId="0" xfId="0" applyNumberFormat="1" applyFont="1" applyFill="1" applyBorder="1"/>
    <xf numFmtId="0" fontId="13" fillId="0" borderId="0" xfId="0" applyFont="1" applyFill="1" applyBorder="1"/>
    <xf numFmtId="0" fontId="16" fillId="0" borderId="6" xfId="0" applyFont="1" applyFill="1" applyBorder="1" applyAlignment="1">
      <alignment horizontal="center" wrapText="1"/>
    </xf>
    <xf numFmtId="0" fontId="13" fillId="0" borderId="0" xfId="0" applyFont="1"/>
    <xf numFmtId="15" fontId="4" fillId="2" borderId="7" xfId="0" applyNumberFormat="1" applyFont="1" applyFill="1" applyBorder="1"/>
    <xf numFmtId="4" fontId="11" fillId="0" borderId="0" xfId="0" applyNumberFormat="1" applyFont="1" applyAlignment="1">
      <alignment horizontal="right"/>
    </xf>
    <xf numFmtId="4" fontId="3" fillId="0" borderId="0" xfId="0" applyNumberFormat="1" applyFont="1" applyFill="1" applyBorder="1" applyProtection="1">
      <protection locked="0"/>
    </xf>
    <xf numFmtId="165" fontId="11" fillId="4" borderId="8" xfId="0" applyNumberFormat="1" applyFont="1" applyFill="1" applyBorder="1"/>
    <xf numFmtId="165" fontId="11" fillId="4" borderId="9" xfId="0" applyNumberFormat="1" applyFont="1" applyFill="1" applyBorder="1"/>
    <xf numFmtId="165" fontId="11" fillId="4" borderId="10" xfId="0" applyNumberFormat="1" applyFont="1" applyFill="1" applyBorder="1"/>
    <xf numFmtId="165" fontId="5" fillId="4" borderId="11" xfId="0" applyNumberFormat="1" applyFont="1" applyFill="1" applyBorder="1"/>
    <xf numFmtId="4" fontId="11" fillId="4" borderId="12" xfId="0" applyNumberFormat="1" applyFont="1" applyFill="1" applyBorder="1"/>
    <xf numFmtId="14" fontId="11" fillId="5" borderId="13" xfId="0" applyNumberFormat="1" applyFont="1" applyFill="1" applyBorder="1" applyProtection="1">
      <protection locked="0"/>
    </xf>
    <xf numFmtId="166" fontId="11" fillId="5" borderId="14" xfId="0" applyNumberFormat="1" applyFont="1" applyFill="1" applyBorder="1" applyProtection="1">
      <protection locked="0"/>
    </xf>
    <xf numFmtId="0" fontId="11" fillId="5" borderId="13" xfId="0" applyFont="1" applyFill="1" applyBorder="1" applyAlignment="1" applyProtection="1">
      <alignment horizontal="center"/>
      <protection locked="0"/>
    </xf>
    <xf numFmtId="165" fontId="11" fillId="5" borderId="13" xfId="0" applyNumberFormat="1" applyFont="1" applyFill="1" applyBorder="1" applyProtection="1">
      <protection locked="0"/>
    </xf>
    <xf numFmtId="165" fontId="11" fillId="5" borderId="9" xfId="0" applyNumberFormat="1" applyFont="1" applyFill="1" applyBorder="1" applyAlignment="1" applyProtection="1">
      <alignment horizontal="right"/>
      <protection locked="0"/>
    </xf>
    <xf numFmtId="0" fontId="11" fillId="5" borderId="9" xfId="0" applyFont="1" applyFill="1" applyBorder="1" applyProtection="1">
      <protection locked="0"/>
    </xf>
    <xf numFmtId="167" fontId="11" fillId="5" borderId="13" xfId="0" applyNumberFormat="1" applyFont="1" applyFill="1" applyBorder="1" applyProtection="1">
      <protection locked="0"/>
    </xf>
    <xf numFmtId="165" fontId="11" fillId="5" borderId="13" xfId="1" applyNumberFormat="1" applyFont="1" applyFill="1" applyBorder="1" applyProtection="1">
      <protection locked="0"/>
    </xf>
    <xf numFmtId="0" fontId="11" fillId="5" borderId="15" xfId="0" applyFont="1" applyFill="1" applyBorder="1" applyProtection="1">
      <protection locked="0"/>
    </xf>
    <xf numFmtId="165" fontId="11" fillId="5" borderId="15" xfId="0" applyNumberFormat="1" applyFont="1" applyFill="1" applyBorder="1" applyProtection="1">
      <protection locked="0"/>
    </xf>
    <xf numFmtId="165" fontId="11" fillId="5" borderId="10" xfId="0" applyNumberFormat="1" applyFont="1" applyFill="1" applyBorder="1" applyProtection="1">
      <protection locked="0"/>
    </xf>
    <xf numFmtId="0" fontId="11" fillId="5" borderId="17" xfId="0" applyFont="1" applyFill="1" applyBorder="1" applyProtection="1">
      <protection locked="0"/>
    </xf>
    <xf numFmtId="15" fontId="11" fillId="2" borderId="18" xfId="0" applyNumberFormat="1" applyFont="1" applyFill="1" applyBorder="1"/>
    <xf numFmtId="15" fontId="11" fillId="2" borderId="19" xfId="0" applyNumberFormat="1" applyFont="1" applyFill="1" applyBorder="1"/>
    <xf numFmtId="15" fontId="11" fillId="2" borderId="20" xfId="0" applyNumberFormat="1" applyFont="1" applyFill="1" applyBorder="1"/>
    <xf numFmtId="0" fontId="11" fillId="2" borderId="1" xfId="0" applyFont="1" applyFill="1" applyBorder="1"/>
    <xf numFmtId="0" fontId="5" fillId="2" borderId="4" xfId="0" applyFont="1" applyFill="1" applyBorder="1"/>
    <xf numFmtId="4" fontId="5" fillId="2" borderId="1" xfId="0" applyNumberFormat="1" applyFont="1" applyFill="1" applyBorder="1"/>
    <xf numFmtId="165" fontId="5" fillId="2" borderId="3" xfId="0" applyNumberFormat="1" applyFont="1" applyFill="1" applyBorder="1"/>
    <xf numFmtId="165" fontId="5" fillId="2" borderId="4" xfId="0" applyNumberFormat="1" applyFont="1" applyFill="1" applyBorder="1"/>
    <xf numFmtId="0" fontId="11" fillId="5" borderId="10" xfId="0" applyFont="1" applyFill="1" applyBorder="1" applyProtection="1">
      <protection locked="0"/>
    </xf>
    <xf numFmtId="4" fontId="11" fillId="3" borderId="6" xfId="0" applyNumberFormat="1" applyFont="1" applyFill="1" applyBorder="1"/>
    <xf numFmtId="15" fontId="5" fillId="0" borderId="6" xfId="0" applyNumberFormat="1" applyFont="1" applyBorder="1"/>
    <xf numFmtId="15" fontId="12" fillId="3" borderId="6" xfId="0" applyNumberFormat="1" applyFont="1" applyFill="1" applyBorder="1"/>
    <xf numFmtId="15" fontId="12" fillId="3" borderId="0" xfId="0" applyNumberFormat="1" applyFont="1" applyFill="1" applyBorder="1"/>
    <xf numFmtId="0" fontId="12" fillId="3" borderId="0" xfId="0" applyFont="1" applyFill="1" applyBorder="1"/>
    <xf numFmtId="4" fontId="12" fillId="3" borderId="6" xfId="0" applyNumberFormat="1" applyFont="1" applyFill="1" applyBorder="1"/>
    <xf numFmtId="4" fontId="12" fillId="3" borderId="0" xfId="0" applyNumberFormat="1" applyFont="1" applyFill="1" applyBorder="1"/>
    <xf numFmtId="0" fontId="11" fillId="3" borderId="5" xfId="0" applyFont="1" applyFill="1" applyBorder="1"/>
    <xf numFmtId="0" fontId="11" fillId="3" borderId="7" xfId="0" applyFont="1" applyFill="1" applyBorder="1"/>
    <xf numFmtId="0" fontId="14" fillId="3" borderId="0" xfId="0" applyFont="1" applyFill="1" applyBorder="1"/>
    <xf numFmtId="0" fontId="13" fillId="3" borderId="0" xfId="0" applyFont="1" applyFill="1" applyBorder="1"/>
    <xf numFmtId="0" fontId="3" fillId="0" borderId="12" xfId="0" applyFont="1" applyBorder="1"/>
    <xf numFmtId="0" fontId="3" fillId="0" borderId="21" xfId="0" applyFont="1" applyBorder="1"/>
    <xf numFmtId="0" fontId="3" fillId="0" borderId="4" xfId="0" applyFont="1" applyBorder="1"/>
    <xf numFmtId="3" fontId="5" fillId="5" borderId="22" xfId="0" applyNumberFormat="1" applyFont="1" applyFill="1" applyBorder="1" applyProtection="1">
      <protection locked="0"/>
    </xf>
    <xf numFmtId="15" fontId="22" fillId="0" borderId="0" xfId="0" applyNumberFormat="1" applyFont="1"/>
    <xf numFmtId="15" fontId="22" fillId="0" borderId="0" xfId="0" applyNumberFormat="1" applyFont="1" applyFill="1" applyBorder="1" applyAlignment="1" applyProtection="1">
      <protection locked="0"/>
    </xf>
    <xf numFmtId="0" fontId="23" fillId="0" borderId="0" xfId="0" applyFont="1" applyFill="1" applyBorder="1" applyAlignment="1" applyProtection="1">
      <protection locked="0"/>
    </xf>
    <xf numFmtId="4" fontId="5" fillId="0" borderId="0" xfId="0" applyNumberFormat="1" applyFont="1" applyFill="1" applyBorder="1" applyProtection="1">
      <protection locked="0"/>
    </xf>
    <xf numFmtId="4" fontId="11" fillId="0" borderId="0" xfId="0" applyNumberFormat="1" applyFont="1" applyFill="1" applyBorder="1" applyAlignment="1" applyProtection="1">
      <alignment horizontal="center"/>
      <protection locked="0"/>
    </xf>
    <xf numFmtId="0" fontId="11" fillId="0" borderId="0" xfId="1" applyNumberFormat="1" applyFont="1" applyFill="1" applyBorder="1" applyAlignment="1" applyProtection="1">
      <protection locked="0"/>
    </xf>
    <xf numFmtId="15" fontId="10" fillId="5" borderId="23" xfId="0" applyNumberFormat="1" applyFont="1" applyFill="1" applyBorder="1"/>
    <xf numFmtId="15" fontId="10" fillId="5" borderId="12" xfId="0" applyNumberFormat="1" applyFont="1" applyFill="1" applyBorder="1"/>
    <xf numFmtId="4" fontId="5" fillId="0" borderId="25" xfId="0" applyNumberFormat="1" applyFont="1" applyBorder="1"/>
    <xf numFmtId="0" fontId="24" fillId="0" borderId="0" xfId="0" applyFont="1"/>
    <xf numFmtId="166" fontId="11" fillId="5" borderId="27" xfId="0" applyNumberFormat="1" applyFont="1" applyFill="1" applyBorder="1" applyProtection="1">
      <protection locked="0"/>
    </xf>
    <xf numFmtId="166" fontId="11" fillId="5" borderId="28" xfId="0" applyNumberFormat="1" applyFont="1" applyFill="1" applyBorder="1" applyProtection="1">
      <protection locked="0"/>
    </xf>
    <xf numFmtId="15" fontId="4" fillId="2" borderId="3" xfId="0" applyNumberFormat="1" applyFont="1" applyFill="1" applyBorder="1"/>
    <xf numFmtId="15" fontId="5" fillId="2" borderId="1" xfId="0" applyNumberFormat="1" applyFont="1" applyFill="1" applyBorder="1" applyAlignment="1">
      <alignment horizontal="center"/>
    </xf>
    <xf numFmtId="15" fontId="5" fillId="2" borderId="1" xfId="0" applyNumberFormat="1" applyFont="1" applyFill="1" applyBorder="1" applyAlignment="1">
      <alignment wrapText="1"/>
    </xf>
    <xf numFmtId="15" fontId="5" fillId="2" borderId="24" xfId="0" applyNumberFormat="1" applyFont="1" applyFill="1" applyBorder="1" applyAlignment="1">
      <alignment wrapText="1"/>
    </xf>
    <xf numFmtId="0" fontId="5" fillId="2" borderId="1" xfId="0" applyFont="1" applyFill="1" applyBorder="1" applyAlignment="1">
      <alignment horizontal="center" wrapText="1"/>
    </xf>
    <xf numFmtId="4" fontId="5" fillId="2" borderId="1" xfId="0" applyNumberFormat="1" applyFont="1" applyFill="1" applyBorder="1" applyAlignment="1">
      <alignment horizontal="center" wrapText="1"/>
    </xf>
    <xf numFmtId="0" fontId="26" fillId="2" borderId="2" xfId="0" applyFont="1" applyFill="1" applyBorder="1" applyAlignment="1">
      <alignment horizontal="center" wrapText="1"/>
    </xf>
    <xf numFmtId="0" fontId="23" fillId="0" borderId="0" xfId="0" applyFont="1"/>
    <xf numFmtId="0" fontId="23" fillId="0" borderId="0" xfId="0" applyFont="1" applyProtection="1"/>
    <xf numFmtId="0" fontId="23" fillId="0" borderId="0" xfId="0" applyNumberFormat="1" applyFont="1"/>
    <xf numFmtId="15" fontId="3" fillId="5" borderId="23" xfId="0" applyNumberFormat="1" applyFont="1" applyFill="1" applyBorder="1" applyAlignment="1" applyProtection="1">
      <alignment horizontal="right"/>
      <protection locked="0"/>
    </xf>
    <xf numFmtId="15" fontId="3" fillId="5" borderId="29" xfId="0" applyNumberFormat="1" applyFont="1" applyFill="1" applyBorder="1" applyProtection="1">
      <protection locked="0"/>
    </xf>
    <xf numFmtId="0" fontId="3" fillId="5" borderId="29" xfId="0" applyFont="1" applyFill="1" applyBorder="1" applyProtection="1">
      <protection locked="0"/>
    </xf>
    <xf numFmtId="4" fontId="3" fillId="5" borderId="12" xfId="0" applyNumberFormat="1" applyFont="1" applyFill="1" applyBorder="1" applyProtection="1">
      <protection locked="0"/>
    </xf>
    <xf numFmtId="15" fontId="3" fillId="5" borderId="6" xfId="0" applyNumberFormat="1" applyFont="1" applyFill="1" applyBorder="1" applyProtection="1">
      <protection locked="0"/>
    </xf>
    <xf numFmtId="15" fontId="20" fillId="5" borderId="0" xfId="0" applyNumberFormat="1" applyFont="1" applyFill="1" applyBorder="1" applyAlignment="1" applyProtection="1">
      <alignment horizontal="right"/>
      <protection locked="0"/>
    </xf>
    <xf numFmtId="15" fontId="3" fillId="5" borderId="5" xfId="0" applyNumberFormat="1" applyFont="1" applyFill="1" applyBorder="1" applyProtection="1">
      <protection locked="0"/>
    </xf>
    <xf numFmtId="15" fontId="3" fillId="5" borderId="7" xfId="0" applyNumberFormat="1" applyFont="1" applyFill="1" applyBorder="1" applyProtection="1">
      <protection locked="0"/>
    </xf>
    <xf numFmtId="0" fontId="3" fillId="5" borderId="7" xfId="0" applyFont="1" applyFill="1" applyBorder="1" applyProtection="1">
      <protection locked="0"/>
    </xf>
    <xf numFmtId="4" fontId="3" fillId="5" borderId="4" xfId="0" applyNumberFormat="1" applyFont="1" applyFill="1" applyBorder="1" applyProtection="1">
      <protection locked="0"/>
    </xf>
    <xf numFmtId="15" fontId="18" fillId="0" borderId="0" xfId="3" applyNumberFormat="1" applyFont="1" applyAlignment="1" applyProtection="1">
      <alignment horizontal="center"/>
    </xf>
    <xf numFmtId="44" fontId="4" fillId="5" borderId="22" xfId="0" applyNumberFormat="1" applyFont="1" applyFill="1" applyBorder="1" applyProtection="1">
      <protection locked="0"/>
    </xf>
    <xf numFmtId="15" fontId="18" fillId="0" borderId="0" xfId="3" applyNumberFormat="1" applyFont="1" applyAlignment="1" applyProtection="1"/>
    <xf numFmtId="0" fontId="3" fillId="5" borderId="12" xfId="0" applyFont="1" applyFill="1" applyBorder="1"/>
    <xf numFmtId="0" fontId="3" fillId="5" borderId="4" xfId="0" applyFont="1" applyFill="1" applyBorder="1"/>
    <xf numFmtId="0" fontId="8" fillId="5" borderId="5" xfId="0" applyFont="1" applyFill="1" applyBorder="1"/>
    <xf numFmtId="4" fontId="8" fillId="5" borderId="7" xfId="0" applyNumberFormat="1" applyFont="1" applyFill="1" applyBorder="1"/>
    <xf numFmtId="4" fontId="3" fillId="5" borderId="4" xfId="0" applyNumberFormat="1" applyFont="1" applyFill="1" applyBorder="1"/>
    <xf numFmtId="0" fontId="28" fillId="0" borderId="21" xfId="0" applyFont="1" applyBorder="1"/>
    <xf numFmtId="0" fontId="5" fillId="0" borderId="0" xfId="0" applyFont="1" applyBorder="1" applyAlignment="1"/>
    <xf numFmtId="0" fontId="5" fillId="0" borderId="0" xfId="0" applyFont="1" applyFill="1" applyBorder="1" applyAlignment="1" applyProtection="1">
      <protection locked="0"/>
    </xf>
    <xf numFmtId="0" fontId="23" fillId="0" borderId="0" xfId="0" applyFont="1" applyBorder="1"/>
    <xf numFmtId="0" fontId="23" fillId="0" borderId="0" xfId="0" applyFont="1" applyFill="1"/>
    <xf numFmtId="0" fontId="23" fillId="0" borderId="0" xfId="0" applyFont="1" applyFill="1" applyBorder="1"/>
    <xf numFmtId="0" fontId="27" fillId="0" borderId="6" xfId="0" applyFont="1" applyFill="1" applyBorder="1" applyAlignment="1"/>
    <xf numFmtId="0" fontId="27" fillId="0" borderId="0" xfId="0" applyFont="1" applyFill="1" applyBorder="1" applyAlignment="1"/>
    <xf numFmtId="4" fontId="5" fillId="0" borderId="0" xfId="0" applyNumberFormat="1" applyFont="1" applyAlignment="1">
      <alignment horizontal="right"/>
    </xf>
    <xf numFmtId="0" fontId="5" fillId="0" borderId="0" xfId="3" applyNumberFormat="1" applyFont="1" applyFill="1" applyBorder="1" applyAlignment="1" applyProtection="1"/>
    <xf numFmtId="15" fontId="18" fillId="0" borderId="0" xfId="3" applyNumberFormat="1" applyFont="1" applyFill="1" applyAlignment="1" applyProtection="1">
      <alignment horizontal="left"/>
    </xf>
    <xf numFmtId="0" fontId="3" fillId="0" borderId="0" xfId="0" applyFont="1" applyFill="1"/>
    <xf numFmtId="0" fontId="5" fillId="0" borderId="0" xfId="0" applyFont="1" applyFill="1" applyBorder="1" applyAlignment="1">
      <alignment horizontal="center" wrapText="1"/>
    </xf>
    <xf numFmtId="0" fontId="4" fillId="0" borderId="0" xfId="0" applyFont="1" applyFill="1" applyBorder="1" applyAlignment="1">
      <alignment horizontal="center"/>
    </xf>
    <xf numFmtId="0" fontId="11" fillId="0" borderId="0" xfId="0" applyFont="1" applyFill="1" applyBorder="1" applyProtection="1">
      <protection locked="0"/>
    </xf>
    <xf numFmtId="0" fontId="11" fillId="0" borderId="0" xfId="0" applyFont="1" applyFill="1" applyBorder="1"/>
    <xf numFmtId="0" fontId="11" fillId="0" borderId="6" xfId="0" applyFont="1" applyFill="1" applyBorder="1"/>
    <xf numFmtId="15" fontId="18" fillId="0" borderId="0" xfId="3" applyNumberFormat="1" applyFont="1" applyFill="1" applyBorder="1" applyAlignment="1" applyProtection="1">
      <alignment horizontal="left"/>
    </xf>
    <xf numFmtId="0" fontId="22" fillId="0" borderId="0" xfId="0" applyFont="1" applyFill="1" applyBorder="1"/>
    <xf numFmtId="165" fontId="5" fillId="2" borderId="1" xfId="0" applyNumberFormat="1" applyFont="1" applyFill="1" applyBorder="1"/>
    <xf numFmtId="15" fontId="3" fillId="0" borderId="0" xfId="0" applyNumberFormat="1" applyFont="1" applyProtection="1"/>
    <xf numFmtId="0" fontId="3" fillId="0" borderId="0" xfId="0" applyFont="1" applyProtection="1"/>
    <xf numFmtId="15" fontId="7" fillId="0" borderId="0" xfId="0" applyNumberFormat="1" applyFont="1" applyFill="1" applyBorder="1" applyAlignment="1" applyProtection="1">
      <alignment horizontal="center"/>
    </xf>
    <xf numFmtId="15" fontId="19" fillId="0" borderId="0" xfId="0" applyNumberFormat="1" applyFont="1" applyProtection="1"/>
    <xf numFmtId="15" fontId="20" fillId="0" borderId="0" xfId="0" applyNumberFormat="1" applyFont="1" applyAlignment="1" applyProtection="1">
      <alignment horizontal="right"/>
    </xf>
    <xf numFmtId="15" fontId="7" fillId="0" borderId="0" xfId="0" applyNumberFormat="1" applyFont="1" applyFill="1" applyBorder="1" applyAlignment="1" applyProtection="1">
      <alignment horizontal="right"/>
    </xf>
    <xf numFmtId="4" fontId="3" fillId="0" borderId="0" xfId="0" applyNumberFormat="1" applyFont="1" applyFill="1" applyBorder="1" applyProtection="1"/>
    <xf numFmtId="15" fontId="13" fillId="0" borderId="0" xfId="0" applyNumberFormat="1" applyFont="1" applyProtection="1"/>
    <xf numFmtId="0" fontId="16" fillId="0" borderId="0" xfId="0" applyFont="1" applyProtection="1"/>
    <xf numFmtId="0" fontId="11" fillId="4" borderId="26" xfId="0" applyFont="1" applyFill="1" applyBorder="1" applyProtection="1"/>
    <xf numFmtId="0" fontId="11" fillId="4" borderId="30" xfId="0" applyFont="1" applyFill="1" applyBorder="1" applyProtection="1"/>
    <xf numFmtId="0" fontId="11" fillId="4" borderId="27" xfId="0" applyFont="1" applyFill="1" applyBorder="1" applyProtection="1"/>
    <xf numFmtId="0" fontId="11" fillId="4" borderId="14" xfId="0" applyFont="1" applyFill="1" applyBorder="1" applyProtection="1"/>
    <xf numFmtId="0" fontId="11" fillId="4" borderId="28" xfId="0" applyFont="1" applyFill="1" applyBorder="1" applyProtection="1"/>
    <xf numFmtId="0" fontId="11" fillId="4" borderId="16" xfId="0" applyFont="1" applyFill="1" applyBorder="1" applyProtection="1"/>
    <xf numFmtId="0" fontId="13" fillId="0" borderId="0" xfId="0" applyFont="1" applyProtection="1"/>
    <xf numFmtId="15" fontId="13" fillId="4" borderId="11" xfId="0" applyNumberFormat="1" applyFont="1" applyFill="1" applyBorder="1" applyProtection="1"/>
    <xf numFmtId="15" fontId="11" fillId="4" borderId="11" xfId="0" applyNumberFormat="1" applyFont="1" applyFill="1" applyBorder="1" applyProtection="1"/>
    <xf numFmtId="0" fontId="12" fillId="4" borderId="11" xfId="0" applyFont="1" applyFill="1" applyBorder="1" applyAlignment="1" applyProtection="1">
      <alignment horizontal="right"/>
    </xf>
    <xf numFmtId="15" fontId="4" fillId="0" borderId="0" xfId="0" applyNumberFormat="1" applyFont="1" applyBorder="1" applyAlignment="1" applyProtection="1">
      <alignment horizontal="right"/>
    </xf>
    <xf numFmtId="15" fontId="11" fillId="4" borderId="23" xfId="0" applyNumberFormat="1" applyFont="1" applyFill="1" applyBorder="1" applyProtection="1"/>
    <xf numFmtId="15" fontId="11" fillId="4" borderId="29" xfId="0" applyNumberFormat="1" applyFont="1" applyFill="1" applyBorder="1" applyProtection="1"/>
    <xf numFmtId="0" fontId="11" fillId="4" borderId="29" xfId="0" applyFont="1" applyFill="1" applyBorder="1" applyProtection="1"/>
    <xf numFmtId="15" fontId="3" fillId="0" borderId="0" xfId="0" applyNumberFormat="1" applyFont="1" applyBorder="1" applyAlignment="1" applyProtection="1">
      <alignment horizontal="right"/>
    </xf>
    <xf numFmtId="15" fontId="11" fillId="4" borderId="5" xfId="0" applyNumberFormat="1" applyFont="1" applyFill="1" applyBorder="1" applyProtection="1"/>
    <xf numFmtId="15" fontId="11" fillId="4" borderId="7" xfId="0" applyNumberFormat="1" applyFont="1" applyFill="1" applyBorder="1" applyProtection="1"/>
    <xf numFmtId="0" fontId="11" fillId="4" borderId="7" xfId="0" applyFont="1" applyFill="1" applyBorder="1" applyProtection="1"/>
    <xf numFmtId="15" fontId="3" fillId="0" borderId="0" xfId="0" applyNumberFormat="1" applyFont="1" applyBorder="1" applyAlignment="1" applyProtection="1"/>
    <xf numFmtId="4" fontId="5" fillId="5" borderId="1" xfId="0" applyNumberFormat="1" applyFont="1" applyFill="1" applyBorder="1" applyAlignment="1" applyProtection="1">
      <alignment horizontal="center"/>
      <protection locked="0"/>
    </xf>
    <xf numFmtId="168" fontId="5" fillId="2" borderId="1" xfId="2" applyFont="1" applyFill="1" applyBorder="1"/>
    <xf numFmtId="49" fontId="13" fillId="5" borderId="6" xfId="3" applyNumberFormat="1" applyFont="1" applyFill="1" applyBorder="1" applyAlignment="1" applyProtection="1">
      <alignment horizontal="left" vertical="top"/>
    </xf>
    <xf numFmtId="15" fontId="29" fillId="5" borderId="0" xfId="3" applyNumberFormat="1" applyFont="1" applyFill="1" applyBorder="1" applyAlignment="1" applyProtection="1">
      <alignment horizontal="left"/>
    </xf>
    <xf numFmtId="15" fontId="29" fillId="5" borderId="21" xfId="3" applyNumberFormat="1" applyFont="1" applyFill="1" applyBorder="1" applyAlignment="1" applyProtection="1">
      <alignment horizontal="left"/>
    </xf>
    <xf numFmtId="0" fontId="3" fillId="5" borderId="29" xfId="0" applyFont="1" applyFill="1" applyBorder="1"/>
    <xf numFmtId="0" fontId="3" fillId="5" borderId="7" xfId="0" applyFont="1" applyFill="1" applyBorder="1"/>
    <xf numFmtId="0" fontId="13" fillId="5" borderId="23" xfId="0" applyFont="1" applyFill="1" applyBorder="1"/>
    <xf numFmtId="0" fontId="13" fillId="5" borderId="5" xfId="0" applyFont="1" applyFill="1" applyBorder="1"/>
    <xf numFmtId="0" fontId="23" fillId="0" borderId="0" xfId="0" quotePrefix="1" applyFont="1"/>
    <xf numFmtId="0" fontId="16" fillId="0" borderId="25" xfId="0" applyFont="1" applyBorder="1" applyAlignment="1">
      <alignment horizontal="center"/>
    </xf>
    <xf numFmtId="0" fontId="30" fillId="0" borderId="3" xfId="0" applyFont="1" applyBorder="1" applyAlignment="1">
      <alignment horizontal="center"/>
    </xf>
    <xf numFmtId="0" fontId="23" fillId="6" borderId="0" xfId="0" applyFont="1" applyFill="1"/>
    <xf numFmtId="169" fontId="23" fillId="0" borderId="0" xfId="1" applyNumberFormat="1" applyFont="1"/>
    <xf numFmtId="170" fontId="23" fillId="0" borderId="0" xfId="1" applyNumberFormat="1" applyFont="1"/>
    <xf numFmtId="0" fontId="23" fillId="6" borderId="0" xfId="0" applyFont="1" applyFill="1" applyAlignment="1">
      <alignment horizontal="center"/>
    </xf>
    <xf numFmtId="2" fontId="11" fillId="4" borderId="4" xfId="0" applyNumberFormat="1" applyFont="1" applyFill="1" applyBorder="1"/>
    <xf numFmtId="0" fontId="5" fillId="5" borderId="1" xfId="1" applyNumberFormat="1" applyFont="1" applyFill="1" applyBorder="1" applyAlignment="1" applyProtection="1">
      <alignment horizontal="center"/>
      <protection locked="0"/>
    </xf>
    <xf numFmtId="0" fontId="5" fillId="0" borderId="1" xfId="0" applyFont="1" applyBorder="1" applyAlignment="1">
      <alignment horizontal="center"/>
    </xf>
    <xf numFmtId="169" fontId="23" fillId="0" borderId="0" xfId="0" applyNumberFormat="1" applyFont="1"/>
    <xf numFmtId="4" fontId="11" fillId="5" borderId="13" xfId="0" applyNumberFormat="1" applyFont="1" applyFill="1" applyBorder="1" applyAlignment="1" applyProtection="1">
      <alignment horizontal="center"/>
      <protection locked="0"/>
    </xf>
    <xf numFmtId="0" fontId="11" fillId="5" borderId="22"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4" fontId="17" fillId="3" borderId="0" xfId="0" applyNumberFormat="1" applyFont="1" applyFill="1" applyBorder="1"/>
    <xf numFmtId="15" fontId="11" fillId="4" borderId="32" xfId="0" applyNumberFormat="1" applyFont="1" applyFill="1" applyBorder="1" applyAlignment="1" applyProtection="1">
      <alignment horizontal="center"/>
    </xf>
    <xf numFmtId="171" fontId="11" fillId="4" borderId="33" xfId="4" applyNumberFormat="1" applyFont="1" applyFill="1" applyBorder="1" applyAlignment="1" applyProtection="1">
      <alignment horizontal="center"/>
    </xf>
    <xf numFmtId="0" fontId="1" fillId="0" borderId="0" xfId="0" applyFont="1"/>
    <xf numFmtId="0" fontId="1" fillId="0" borderId="0" xfId="0" quotePrefix="1" applyFont="1"/>
    <xf numFmtId="16" fontId="0" fillId="0" borderId="0" xfId="0" applyNumberFormat="1"/>
    <xf numFmtId="0" fontId="33" fillId="8" borderId="23" xfId="0" applyFont="1" applyFill="1" applyBorder="1" applyAlignment="1">
      <alignment wrapText="1"/>
    </xf>
    <xf numFmtId="0" fontId="33" fillId="8" borderId="6" xfId="0" applyFont="1" applyFill="1" applyBorder="1" applyAlignment="1">
      <alignment wrapText="1"/>
    </xf>
    <xf numFmtId="0" fontId="33" fillId="9" borderId="23" xfId="0" applyFont="1" applyFill="1" applyBorder="1" applyAlignment="1">
      <alignment wrapText="1"/>
    </xf>
    <xf numFmtId="0" fontId="33" fillId="9" borderId="6" xfId="0" applyFont="1" applyFill="1" applyBorder="1" applyAlignment="1">
      <alignment wrapText="1"/>
    </xf>
    <xf numFmtId="0" fontId="2" fillId="0" borderId="0" xfId="0" applyFont="1"/>
    <xf numFmtId="14" fontId="0" fillId="0" borderId="0" xfId="0" applyNumberFormat="1"/>
    <xf numFmtId="14" fontId="0" fillId="0" borderId="0" xfId="0" applyNumberFormat="1" applyAlignment="1">
      <alignment horizontal="center"/>
    </xf>
    <xf numFmtId="0" fontId="1" fillId="0" borderId="0" xfId="0" applyFont="1" applyAlignment="1">
      <alignment wrapText="1"/>
    </xf>
    <xf numFmtId="0" fontId="0" fillId="0" borderId="22" xfId="0" applyBorder="1" applyAlignment="1"/>
    <xf numFmtId="169" fontId="23" fillId="0" borderId="22" xfId="1" applyNumberFormat="1" applyFont="1" applyBorder="1"/>
    <xf numFmtId="8" fontId="0" fillId="0" borderId="22" xfId="0" applyNumberFormat="1" applyBorder="1"/>
    <xf numFmtId="0" fontId="0" fillId="0" borderId="22" xfId="0" applyBorder="1"/>
    <xf numFmtId="169" fontId="23" fillId="0" borderId="22" xfId="0" applyNumberFormat="1" applyFont="1" applyBorder="1"/>
    <xf numFmtId="4" fontId="2" fillId="2" borderId="25" xfId="0" applyNumberFormat="1" applyFont="1" applyFill="1" applyBorder="1" applyAlignment="1">
      <alignment horizontal="center"/>
    </xf>
    <xf numFmtId="4" fontId="4" fillId="2" borderId="25" xfId="0" applyNumberFormat="1" applyFont="1" applyFill="1" applyBorder="1" applyAlignment="1">
      <alignment horizontal="center"/>
    </xf>
    <xf numFmtId="0" fontId="3" fillId="0" borderId="0" xfId="0" quotePrefix="1" applyFont="1"/>
    <xf numFmtId="8" fontId="0" fillId="0" borderId="35" xfId="0" applyNumberFormat="1" applyFill="1" applyBorder="1"/>
    <xf numFmtId="0" fontId="0" fillId="0" borderId="35" xfId="0" applyFill="1" applyBorder="1"/>
    <xf numFmtId="165" fontId="5" fillId="2" borderId="1" xfId="0" applyNumberFormat="1" applyFont="1" applyFill="1" applyBorder="1" applyAlignment="1">
      <alignment horizontal="center"/>
    </xf>
    <xf numFmtId="14" fontId="23" fillId="0" borderId="0" xfId="0" applyNumberFormat="1" applyFont="1"/>
    <xf numFmtId="0" fontId="0" fillId="8" borderId="0" xfId="0" applyFill="1"/>
    <xf numFmtId="0" fontId="23" fillId="8" borderId="0" xfId="0" applyFont="1" applyFill="1"/>
    <xf numFmtId="14" fontId="23" fillId="8" borderId="0" xfId="0" applyNumberFormat="1" applyFont="1" applyFill="1"/>
    <xf numFmtId="15" fontId="23" fillId="2" borderId="3" xfId="0" applyNumberFormat="1" applyFont="1" applyFill="1" applyBorder="1"/>
    <xf numFmtId="0" fontId="0" fillId="0" borderId="35" xfId="0" applyFill="1" applyBorder="1" applyAlignment="1"/>
    <xf numFmtId="169" fontId="0" fillId="0" borderId="0" xfId="0" applyNumberFormat="1"/>
    <xf numFmtId="4" fontId="1" fillId="5" borderId="27" xfId="0" applyNumberFormat="1" applyFont="1" applyFill="1" applyBorder="1" applyAlignment="1" applyProtection="1">
      <alignment horizontal="center" wrapText="1"/>
      <protection locked="0"/>
    </xf>
    <xf numFmtId="2" fontId="11" fillId="2" borderId="1" xfId="0" applyNumberFormat="1" applyFont="1" applyFill="1" applyBorder="1"/>
    <xf numFmtId="0" fontId="4" fillId="10" borderId="0" xfId="0" applyFont="1" applyFill="1"/>
    <xf numFmtId="14" fontId="34" fillId="11" borderId="34" xfId="5" applyNumberFormat="1" applyFont="1" applyFill="1" applyProtection="1"/>
    <xf numFmtId="2" fontId="34" fillId="11" borderId="34" xfId="5" applyNumberFormat="1" applyFont="1" applyFill="1" applyProtection="1"/>
    <xf numFmtId="165" fontId="34" fillId="11" borderId="22" xfId="5" applyNumberFormat="1" applyFont="1" applyFill="1" applyBorder="1" applyProtection="1"/>
    <xf numFmtId="172" fontId="34" fillId="11" borderId="34" xfId="5" applyNumberFormat="1" applyFont="1" applyFill="1" applyProtection="1"/>
    <xf numFmtId="0" fontId="0" fillId="0" borderId="36" xfId="0" applyFill="1" applyBorder="1"/>
    <xf numFmtId="0" fontId="5" fillId="0" borderId="24" xfId="0" applyFont="1" applyBorder="1" applyAlignment="1">
      <alignment horizontal="center"/>
    </xf>
    <xf numFmtId="0" fontId="5" fillId="0" borderId="19" xfId="0" applyFont="1" applyBorder="1" applyAlignment="1">
      <alignment horizontal="center"/>
    </xf>
    <xf numFmtId="0" fontId="5" fillId="0" borderId="2" xfId="0" applyFont="1" applyBorder="1" applyAlignment="1">
      <alignment horizontal="center"/>
    </xf>
    <xf numFmtId="0" fontId="5" fillId="0" borderId="24" xfId="0" applyFont="1" applyFill="1" applyBorder="1" applyAlignment="1">
      <alignment horizontal="center"/>
    </xf>
    <xf numFmtId="0" fontId="5" fillId="0" borderId="2" xfId="0" applyFont="1" applyFill="1" applyBorder="1" applyAlignment="1">
      <alignment horizontal="center"/>
    </xf>
    <xf numFmtId="0" fontId="5" fillId="5" borderId="24" xfId="0" applyFont="1" applyFill="1" applyBorder="1" applyAlignment="1" applyProtection="1">
      <alignment horizontal="center"/>
      <protection locked="0"/>
    </xf>
    <xf numFmtId="0" fontId="5" fillId="5" borderId="2" xfId="0" applyFont="1" applyFill="1" applyBorder="1" applyAlignment="1" applyProtection="1">
      <alignment horizontal="center"/>
      <protection locked="0"/>
    </xf>
    <xf numFmtId="4" fontId="16" fillId="5" borderId="24" xfId="0" applyNumberFormat="1" applyFont="1" applyFill="1" applyBorder="1" applyAlignment="1" applyProtection="1">
      <alignment horizontal="center"/>
      <protection locked="0"/>
    </xf>
    <xf numFmtId="4" fontId="16" fillId="5" borderId="2" xfId="0" applyNumberFormat="1" applyFont="1" applyFill="1" applyBorder="1" applyAlignment="1" applyProtection="1">
      <alignment horizontal="center"/>
      <protection locked="0"/>
    </xf>
    <xf numFmtId="0" fontId="5" fillId="0" borderId="24" xfId="3" applyNumberFormat="1" applyFont="1" applyBorder="1" applyAlignment="1" applyProtection="1">
      <alignment horizontal="center"/>
    </xf>
    <xf numFmtId="0" fontId="5" fillId="0" borderId="19" xfId="3" applyNumberFormat="1" applyFont="1" applyBorder="1" applyAlignment="1" applyProtection="1">
      <alignment horizontal="center"/>
    </xf>
    <xf numFmtId="0" fontId="5" fillId="0" borderId="2" xfId="3" applyNumberFormat="1" applyFont="1" applyBorder="1" applyAlignment="1" applyProtection="1">
      <alignment horizontal="center"/>
    </xf>
    <xf numFmtId="4" fontId="5" fillId="0" borderId="23" xfId="0" applyNumberFormat="1" applyFont="1" applyBorder="1" applyAlignment="1">
      <alignment horizontal="center"/>
    </xf>
    <xf numFmtId="4" fontId="5" fillId="0" borderId="12" xfId="0" applyNumberFormat="1" applyFont="1" applyBorder="1" applyAlignment="1">
      <alignment horizontal="center"/>
    </xf>
    <xf numFmtId="15" fontId="22" fillId="0" borderId="24" xfId="0" applyNumberFormat="1" applyFont="1" applyBorder="1" applyAlignment="1">
      <alignment horizontal="center"/>
    </xf>
    <xf numFmtId="15" fontId="22" fillId="0" borderId="19" xfId="0" applyNumberFormat="1" applyFont="1" applyBorder="1" applyAlignment="1">
      <alignment horizontal="center"/>
    </xf>
    <xf numFmtId="15" fontId="22" fillId="0" borderId="2" xfId="0" applyNumberFormat="1" applyFont="1" applyBorder="1" applyAlignment="1">
      <alignment horizontal="center"/>
    </xf>
    <xf numFmtId="0" fontId="35" fillId="0" borderId="0" xfId="0" applyFont="1" applyBorder="1" applyAlignment="1">
      <alignment horizontal="center" vertical="center" wrapText="1"/>
    </xf>
    <xf numFmtId="0" fontId="35" fillId="0" borderId="21" xfId="0" applyFont="1" applyBorder="1" applyAlignment="1">
      <alignment horizontal="center" vertical="center" wrapText="1"/>
    </xf>
    <xf numFmtId="15" fontId="3" fillId="5" borderId="0" xfId="0" applyNumberFormat="1" applyFont="1" applyFill="1" applyBorder="1" applyAlignment="1" applyProtection="1">
      <alignment horizontal="left"/>
      <protection locked="0"/>
    </xf>
    <xf numFmtId="15" fontId="3" fillId="5" borderId="21" xfId="0" applyNumberFormat="1" applyFont="1" applyFill="1" applyBorder="1" applyAlignment="1" applyProtection="1">
      <alignment horizontal="left"/>
      <protection locked="0"/>
    </xf>
    <xf numFmtId="4" fontId="3" fillId="3" borderId="23" xfId="0" applyNumberFormat="1" applyFont="1" applyFill="1" applyBorder="1" applyAlignment="1">
      <alignment horizontal="center"/>
    </xf>
    <xf numFmtId="4" fontId="3" fillId="3" borderId="29" xfId="0" applyNumberFormat="1" applyFont="1" applyFill="1" applyBorder="1" applyAlignment="1">
      <alignment horizontal="center"/>
    </xf>
    <xf numFmtId="4" fontId="3" fillId="3" borderId="6" xfId="0" applyNumberFormat="1" applyFont="1" applyFill="1" applyBorder="1" applyAlignment="1">
      <alignment horizontal="center"/>
    </xf>
    <xf numFmtId="4" fontId="3" fillId="3" borderId="0" xfId="0" applyNumberFormat="1" applyFont="1" applyFill="1" applyBorder="1" applyAlignment="1">
      <alignment horizontal="center"/>
    </xf>
    <xf numFmtId="0" fontId="5" fillId="2" borderId="24" xfId="0" applyFont="1" applyFill="1" applyBorder="1" applyAlignment="1">
      <alignment horizontal="center"/>
    </xf>
    <xf numFmtId="0" fontId="5" fillId="2" borderId="2" xfId="0" applyFont="1" applyFill="1" applyBorder="1" applyAlignment="1">
      <alignment horizontal="center"/>
    </xf>
    <xf numFmtId="15" fontId="22" fillId="5" borderId="24" xfId="0" applyNumberFormat="1" applyFont="1" applyFill="1" applyBorder="1" applyAlignment="1" applyProtection="1">
      <alignment horizontal="center"/>
      <protection locked="0"/>
    </xf>
    <xf numFmtId="15" fontId="22" fillId="5" borderId="19" xfId="0" applyNumberFormat="1" applyFont="1" applyFill="1" applyBorder="1" applyAlignment="1" applyProtection="1">
      <alignment horizontal="center"/>
      <protection locked="0"/>
    </xf>
    <xf numFmtId="15" fontId="22" fillId="5" borderId="2" xfId="0" applyNumberFormat="1" applyFont="1" applyFill="1" applyBorder="1" applyAlignment="1" applyProtection="1">
      <alignment horizontal="center"/>
      <protection locked="0"/>
    </xf>
    <xf numFmtId="4" fontId="5" fillId="5" borderId="24" xfId="0" applyNumberFormat="1" applyFont="1" applyFill="1" applyBorder="1" applyAlignment="1" applyProtection="1">
      <alignment horizontal="center"/>
      <protection locked="0"/>
    </xf>
    <xf numFmtId="4" fontId="5" fillId="5" borderId="2" xfId="0" applyNumberFormat="1" applyFont="1" applyFill="1" applyBorder="1" applyAlignment="1" applyProtection="1">
      <alignment horizontal="center"/>
      <protection locked="0"/>
    </xf>
    <xf numFmtId="4" fontId="4" fillId="0" borderId="25" xfId="0" applyNumberFormat="1" applyFont="1" applyBorder="1" applyAlignment="1">
      <alignment horizontal="center" vertical="center" wrapText="1"/>
    </xf>
    <xf numFmtId="4" fontId="4" fillId="0" borderId="31"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9" fontId="5" fillId="5" borderId="25" xfId="0" applyNumberFormat="1" applyFont="1" applyFill="1" applyBorder="1" applyAlignment="1">
      <alignment horizontal="center" vertical="center"/>
    </xf>
    <xf numFmtId="49" fontId="5" fillId="5" borderId="31"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0" fontId="16" fillId="2" borderId="24" xfId="0" applyFont="1" applyFill="1" applyBorder="1" applyAlignment="1">
      <alignment horizontal="center" wrapText="1"/>
    </xf>
    <xf numFmtId="0" fontId="16" fillId="2" borderId="19" xfId="0" applyFont="1" applyFill="1" applyBorder="1" applyAlignment="1">
      <alignment horizontal="center" wrapText="1"/>
    </xf>
    <xf numFmtId="0" fontId="16" fillId="2" borderId="2" xfId="0" applyFont="1" applyFill="1" applyBorder="1" applyAlignment="1">
      <alignment horizontal="center" wrapText="1"/>
    </xf>
    <xf numFmtId="0" fontId="21" fillId="2" borderId="24" xfId="0" applyFont="1" applyFill="1" applyBorder="1" applyAlignment="1">
      <alignment horizontal="center"/>
    </xf>
    <xf numFmtId="0" fontId="21" fillId="2" borderId="19" xfId="0" applyFont="1" applyFill="1" applyBorder="1" applyAlignment="1">
      <alignment horizontal="center"/>
    </xf>
    <xf numFmtId="0" fontId="21" fillId="2" borderId="2" xfId="0" applyFont="1" applyFill="1" applyBorder="1" applyAlignment="1">
      <alignment horizontal="center"/>
    </xf>
    <xf numFmtId="4" fontId="5" fillId="2" borderId="24" xfId="0" applyNumberFormat="1" applyFont="1" applyFill="1" applyBorder="1" applyAlignment="1">
      <alignment horizontal="center" wrapText="1"/>
    </xf>
    <xf numFmtId="4" fontId="5" fillId="2" borderId="2" xfId="0" applyNumberFormat="1" applyFont="1" applyFill="1" applyBorder="1" applyAlignment="1">
      <alignment horizontal="center" wrapText="1"/>
    </xf>
    <xf numFmtId="15" fontId="3" fillId="5" borderId="0" xfId="0" applyNumberFormat="1" applyFont="1" applyFill="1" applyBorder="1" applyAlignment="1" applyProtection="1">
      <alignment horizontal="center"/>
      <protection locked="0"/>
    </xf>
    <xf numFmtId="15" fontId="3" fillId="5" borderId="21" xfId="0" applyNumberFormat="1" applyFont="1" applyFill="1" applyBorder="1" applyAlignment="1" applyProtection="1">
      <alignment horizontal="center"/>
      <protection locked="0"/>
    </xf>
    <xf numFmtId="15" fontId="36" fillId="0" borderId="7" xfId="0" applyNumberFormat="1" applyFont="1" applyBorder="1" applyAlignment="1">
      <alignment horizontal="left" wrapText="1"/>
    </xf>
    <xf numFmtId="15" fontId="38" fillId="0" borderId="29" xfId="0" applyNumberFormat="1" applyFont="1" applyBorder="1" applyAlignment="1" applyProtection="1">
      <alignment horizontal="center"/>
    </xf>
  </cellXfs>
  <cellStyles count="6">
    <cellStyle name="Calculation" xfId="5" builtinId="22"/>
    <cellStyle name="Comma" xfId="4" builtinId="3"/>
    <cellStyle name="Currency" xfId="1" builtinId="4"/>
    <cellStyle name="Euro" xfId="2"/>
    <cellStyle name="Hyperlink" xfId="3" builtinId="8"/>
    <cellStyle name="Normal" xfId="0" builtinId="0"/>
  </cellStyles>
  <dxfs count="4">
    <dxf>
      <fill>
        <patternFill>
          <bgColor theme="3" tint="0.79998168889431442"/>
        </patternFill>
      </fill>
    </dxf>
    <dxf>
      <fill>
        <patternFill>
          <bgColor theme="5" tint="0.79998168889431442"/>
        </patternFill>
      </fill>
    </dxf>
    <dxf>
      <font>
        <color rgb="FF9C0006"/>
      </font>
      <fill>
        <patternFill>
          <bgColor rgb="FFFFC7CE"/>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56"/>
  <sheetViews>
    <sheetView showGridLines="0" tabSelected="1" zoomScale="85" zoomScaleNormal="85" zoomScaleSheetLayoutView="75" workbookViewId="0">
      <selection activeCell="A13" sqref="A13"/>
    </sheetView>
  </sheetViews>
  <sheetFormatPr defaultColWidth="0" defaultRowHeight="22.8" zeroHeight="1" x14ac:dyDescent="0.4"/>
  <cols>
    <col min="1" max="1" width="19.109375" style="6" customWidth="1"/>
    <col min="2" max="2" width="14" style="6" customWidth="1"/>
    <col min="3" max="3" width="17.109375" style="6" customWidth="1"/>
    <col min="4" max="4" width="22.33203125" style="1" customWidth="1"/>
    <col min="5" max="5" width="24.44140625" style="1" customWidth="1"/>
    <col min="6" max="6" width="25.6640625" style="3" customWidth="1"/>
    <col min="7" max="7" width="24.5546875" style="3" customWidth="1"/>
    <col min="8" max="8" width="25.109375" style="3" customWidth="1"/>
    <col min="9" max="9" width="21.5546875" style="3" customWidth="1"/>
    <col min="10" max="10" width="22" style="3" customWidth="1"/>
    <col min="11" max="11" width="26.44140625" style="3" customWidth="1"/>
    <col min="12" max="12" width="26.5546875" style="3" customWidth="1"/>
    <col min="13" max="13" width="16.88671875" style="1" customWidth="1"/>
    <col min="14" max="14" width="20.44140625" style="1" customWidth="1"/>
    <col min="15" max="15" width="89.88671875" style="1" customWidth="1"/>
    <col min="16" max="16" width="74.44140625" style="1" hidden="1" customWidth="1"/>
    <col min="17" max="17" width="9.109375" style="105" hidden="1" customWidth="1"/>
    <col min="18" max="18" width="11.5546875" style="105" hidden="1" customWidth="1"/>
    <col min="19" max="19" width="10.5546875" style="105" hidden="1" customWidth="1"/>
    <col min="20" max="20" width="11.5546875" style="105" hidden="1" customWidth="1"/>
    <col min="21" max="25" width="9.109375" style="105" hidden="1" customWidth="1"/>
    <col min="26" max="26" width="29.88671875" style="105" hidden="1" customWidth="1"/>
    <col min="27" max="27" width="64.88671875" style="105" hidden="1" customWidth="1"/>
    <col min="28" max="28" width="38.33203125" style="105" hidden="1" customWidth="1"/>
    <col min="29" max="30" width="9.109375" style="105" hidden="1" customWidth="1"/>
    <col min="31" max="31" width="40.5546875" style="105" hidden="1" customWidth="1"/>
    <col min="32" max="32" width="14.44140625" style="105" hidden="1" customWidth="1"/>
    <col min="33" max="33" width="13.88671875" style="105" hidden="1" customWidth="1"/>
    <col min="34" max="35" width="9.109375" style="105" hidden="1" customWidth="1"/>
    <col min="36" max="16384" width="9.109375" style="1" hidden="1"/>
  </cols>
  <sheetData>
    <row r="1" spans="1:31" ht="10.5" customHeight="1" thickBot="1" x14ac:dyDescent="0.45">
      <c r="A1" s="15"/>
      <c r="B1" s="15"/>
      <c r="C1" s="15"/>
    </row>
    <row r="2" spans="1:31" ht="25.2" thickBot="1" x14ac:dyDescent="0.45">
      <c r="A2" s="92" t="s">
        <v>35</v>
      </c>
      <c r="B2" s="93"/>
      <c r="E2" s="95" t="s">
        <v>52</v>
      </c>
    </row>
    <row r="3" spans="1:31" ht="27" customHeight="1" thickBot="1" x14ac:dyDescent="0.45">
      <c r="A3" s="251" t="s">
        <v>16</v>
      </c>
      <c r="B3" s="252"/>
      <c r="C3" s="252"/>
      <c r="D3" s="253"/>
      <c r="E3" s="2"/>
      <c r="F3" s="192" t="s">
        <v>25</v>
      </c>
      <c r="G3" s="20"/>
      <c r="H3" s="94" t="s">
        <v>26</v>
      </c>
      <c r="I3" s="21"/>
      <c r="J3" s="249" t="s">
        <v>36</v>
      </c>
      <c r="K3" s="250"/>
      <c r="L3" s="16"/>
      <c r="M3" s="237" t="s">
        <v>57</v>
      </c>
      <c r="N3" s="238"/>
      <c r="O3" s="239"/>
    </row>
    <row r="4" spans="1:31" ht="27" customHeight="1" thickBot="1" x14ac:dyDescent="0.45">
      <c r="A4" s="264" t="s">
        <v>134</v>
      </c>
      <c r="B4" s="265"/>
      <c r="C4" s="265"/>
      <c r="D4" s="266"/>
      <c r="E4" s="2"/>
      <c r="F4" s="174" t="s">
        <v>134</v>
      </c>
      <c r="G4" s="20"/>
      <c r="H4" s="191" t="s">
        <v>134</v>
      </c>
      <c r="I4" s="43"/>
      <c r="J4" s="267" t="s">
        <v>134</v>
      </c>
      <c r="K4" s="268"/>
      <c r="M4" s="181" t="s">
        <v>134</v>
      </c>
      <c r="N4" s="179" t="s">
        <v>134</v>
      </c>
      <c r="O4" s="121"/>
    </row>
    <row r="5" spans="1:31" ht="27" customHeight="1" thickBot="1" x14ac:dyDescent="0.45">
      <c r="A5" s="86"/>
      <c r="B5" s="87"/>
      <c r="C5" s="88"/>
      <c r="D5" s="88"/>
      <c r="E5" s="2"/>
      <c r="F5" s="89"/>
      <c r="G5" s="20"/>
      <c r="H5" s="91"/>
      <c r="I5" s="43"/>
      <c r="J5" s="90"/>
      <c r="K5" s="90"/>
      <c r="M5" s="182"/>
      <c r="N5" s="180"/>
      <c r="O5" s="122"/>
    </row>
    <row r="6" spans="1:31" ht="27" customHeight="1" thickBot="1" x14ac:dyDescent="0.45">
      <c r="A6" s="240" t="s">
        <v>17</v>
      </c>
      <c r="B6" s="241"/>
      <c r="C6" s="127"/>
      <c r="D6" s="237" t="s">
        <v>27</v>
      </c>
      <c r="E6" s="239"/>
      <c r="F6" s="254" t="str">
        <f ca="1">IF(A26&lt;&gt;"","ERROR:  Dates entered cover more than one Circular for mileage. Please separate into 2 individual claims.",IF(OR(A4="",F4="",H4="",J4="",M4="",A7="",D7="",K6="",M8="",E9="",E27=""),"Warning all sections in green must be completed",""))</f>
        <v/>
      </c>
      <c r="G6" s="254"/>
      <c r="H6" s="254"/>
      <c r="I6" s="255"/>
      <c r="J6" s="269" t="s">
        <v>61</v>
      </c>
      <c r="K6" s="272" t="s">
        <v>134</v>
      </c>
      <c r="M6" s="7"/>
      <c r="N6" s="7"/>
      <c r="Q6" s="129"/>
    </row>
    <row r="7" spans="1:31" ht="27" customHeight="1" thickBot="1" x14ac:dyDescent="0.45">
      <c r="A7" s="242" t="s">
        <v>134</v>
      </c>
      <c r="B7" s="243"/>
      <c r="C7" s="128"/>
      <c r="D7" s="244" t="s">
        <v>68</v>
      </c>
      <c r="E7" s="245"/>
      <c r="F7" s="254"/>
      <c r="G7" s="254"/>
      <c r="H7" s="254"/>
      <c r="I7" s="255"/>
      <c r="J7" s="270"/>
      <c r="K7" s="273"/>
      <c r="L7" s="120"/>
      <c r="M7" s="246" t="s">
        <v>64</v>
      </c>
      <c r="N7" s="247"/>
      <c r="O7" s="248"/>
      <c r="P7" s="135"/>
      <c r="Q7" s="135"/>
      <c r="R7" s="130"/>
    </row>
    <row r="8" spans="1:31" ht="27" customHeight="1" thickBot="1" x14ac:dyDescent="0.45">
      <c r="A8" s="132"/>
      <c r="B8" s="133"/>
      <c r="C8" s="133"/>
      <c r="D8" s="133"/>
      <c r="E8" s="133"/>
      <c r="F8" s="254"/>
      <c r="G8" s="254"/>
      <c r="H8" s="254"/>
      <c r="I8" s="255"/>
      <c r="J8" s="271"/>
      <c r="K8" s="274"/>
      <c r="L8" s="118"/>
      <c r="M8" s="176" t="s">
        <v>135</v>
      </c>
      <c r="N8" s="177" t="s">
        <v>135</v>
      </c>
      <c r="O8" s="178"/>
      <c r="P8" s="136"/>
      <c r="Q8" s="143"/>
      <c r="R8" s="130"/>
    </row>
    <row r="9" spans="1:31" ht="20.25" customHeight="1" thickBot="1" x14ac:dyDescent="0.45">
      <c r="A9" s="2"/>
      <c r="B9" s="23"/>
      <c r="C9" s="24"/>
      <c r="D9" s="134" t="s">
        <v>63</v>
      </c>
      <c r="E9" s="174" t="s">
        <v>119</v>
      </c>
      <c r="F9" s="22"/>
      <c r="G9" s="22"/>
      <c r="H9" s="22"/>
      <c r="I9" s="22"/>
      <c r="J9" s="22"/>
      <c r="K9" s="22"/>
      <c r="L9" s="9"/>
      <c r="M9" s="123"/>
      <c r="N9" s="124"/>
      <c r="O9" s="125"/>
      <c r="P9" s="137"/>
      <c r="Q9" s="131"/>
      <c r="R9" s="130"/>
    </row>
    <row r="10" spans="1:31" ht="48.6" customHeight="1" thickBot="1" x14ac:dyDescent="0.45">
      <c r="A10" s="285" t="s">
        <v>138</v>
      </c>
      <c r="B10" s="285"/>
      <c r="C10" s="285"/>
      <c r="D10" s="285"/>
      <c r="E10" s="285"/>
      <c r="F10" s="285"/>
      <c r="G10" s="285"/>
      <c r="H10" s="285"/>
      <c r="I10" s="285"/>
      <c r="J10" s="285"/>
      <c r="K10" s="285"/>
      <c r="L10" s="285"/>
      <c r="M10" s="285"/>
      <c r="N10" s="285"/>
      <c r="O10" s="285"/>
      <c r="P10" s="137"/>
      <c r="Q10" s="131"/>
      <c r="R10" s="130"/>
    </row>
    <row r="11" spans="1:31" ht="67.5" customHeight="1" thickBot="1" x14ac:dyDescent="0.45">
      <c r="A11" s="99" t="s">
        <v>37</v>
      </c>
      <c r="B11" s="100" t="s">
        <v>39</v>
      </c>
      <c r="C11" s="100" t="s">
        <v>38</v>
      </c>
      <c r="D11" s="101" t="s">
        <v>40</v>
      </c>
      <c r="E11" s="100" t="s">
        <v>132</v>
      </c>
      <c r="F11" s="262" t="s">
        <v>54</v>
      </c>
      <c r="G11" s="263"/>
      <c r="H11" s="102" t="s">
        <v>28</v>
      </c>
      <c r="I11" s="103" t="s">
        <v>62</v>
      </c>
      <c r="J11" s="103" t="s">
        <v>49</v>
      </c>
      <c r="K11" s="281" t="s">
        <v>30</v>
      </c>
      <c r="L11" s="282"/>
      <c r="M11" s="8" t="s">
        <v>23</v>
      </c>
      <c r="N11" s="104" t="s">
        <v>15</v>
      </c>
      <c r="O11" s="102" t="s">
        <v>5</v>
      </c>
      <c r="P11" s="138"/>
      <c r="Q11" s="131"/>
      <c r="R11" s="130"/>
      <c r="AA11" s="183"/>
      <c r="AC11" s="106"/>
      <c r="AD11" s="106"/>
      <c r="AE11" s="106"/>
    </row>
    <row r="12" spans="1:31" ht="21.9" customHeight="1" thickBot="1" x14ac:dyDescent="0.45">
      <c r="A12" s="12"/>
      <c r="B12" s="13" t="s">
        <v>0</v>
      </c>
      <c r="C12" s="42"/>
      <c r="D12" s="14" t="s">
        <v>20</v>
      </c>
      <c r="E12" s="98"/>
      <c r="F12" s="11" t="s">
        <v>19</v>
      </c>
      <c r="G12" s="11" t="s">
        <v>1</v>
      </c>
      <c r="H12" s="10" t="s">
        <v>22</v>
      </c>
      <c r="I12" s="4" t="str">
        <f>E9</f>
        <v>KMs</v>
      </c>
      <c r="J12" s="17"/>
      <c r="K12" s="216" t="s">
        <v>21</v>
      </c>
      <c r="L12" s="217" t="s">
        <v>50</v>
      </c>
      <c r="M12" s="4" t="s">
        <v>12</v>
      </c>
      <c r="N12" s="4" t="s">
        <v>12</v>
      </c>
      <c r="O12" s="5"/>
      <c r="P12" s="139"/>
      <c r="Q12" s="144"/>
      <c r="R12" s="130"/>
      <c r="AA12" s="183"/>
      <c r="AC12" s="106"/>
      <c r="AD12" s="106"/>
      <c r="AE12" s="106"/>
    </row>
    <row r="13" spans="1:31" ht="37.5" customHeight="1" x14ac:dyDescent="0.4">
      <c r="A13" s="50"/>
      <c r="B13" s="51"/>
      <c r="C13" s="232" t="str">
        <f t="shared" ref="C13:C24" si="0">IF(A13="","",IF(ISNUMBER(SEARCH("overnight",J13)),A13+1,A13))</f>
        <v/>
      </c>
      <c r="D13" s="96"/>
      <c r="E13" s="233" t="str">
        <f t="shared" ref="E13:E24" si="1">IF(OR(B13="",D13=""),"",((C13+D13)-(A13+B13))*24)</f>
        <v/>
      </c>
      <c r="F13" s="52"/>
      <c r="G13" s="196"/>
      <c r="H13" s="52"/>
      <c r="I13" s="194"/>
      <c r="J13" s="229"/>
      <c r="K13" s="234" t="str">
        <f>IF(J13="","",IF(AND(ISNUMBER(SEARCH("overnight",J13)),E13&lt;24),"Error:Overnight&lt;24hrs",(VLOOKUP(J13,SubsistanceRates,IF(AND(A13&gt;='Lists and Rates'!$E$1,A13&lt;'Lists and Rates'!$F$1),2,IF(AND(A13&gt;='Lists and Rates'!$F$1,A13&lt;'Lists and Rates'!$G$1),3,IF(AND(A13&gt;='Lists and Rates'!$G$1,A13&lt;'Lists and Rates'!$H$1),4,IF(AND(A13&gt;='Lists and Rates'!$H$1,A13&lt;'Lists and Rates'!$I$1),5,6)))),0))))</f>
        <v/>
      </c>
      <c r="L13" s="235">
        <f ca="1">IF(AND(A13="",I13&lt;&gt;""),"Error Enter Date",IF($E$27+SUM($I$12:$I12)&gt;=$G$29,I13,IF(I13+$E$27+SUM($I$12:$I12)&lt;$G$29,0,I13+$E$27+SUM($I$12:$I12)-$G$29))*$H$39/100+(I13-IF($E$27+SUM($I$12:$I12)&gt;=$G$29,I13,IF(I13+$E$27+SUM($I$12:$I12)&lt;$G$29,0,I13+$E$27+SUM($I$12:$I12)-$G$29)))*$E$39/100)</f>
        <v>0</v>
      </c>
      <c r="M13" s="53"/>
      <c r="N13" s="54"/>
      <c r="O13" s="55"/>
      <c r="P13" s="140"/>
      <c r="Q13" s="130"/>
      <c r="R13" s="130"/>
      <c r="T13" s="107"/>
      <c r="V13" s="130"/>
      <c r="W13" s="130"/>
    </row>
    <row r="14" spans="1:31" ht="37.5" customHeight="1" x14ac:dyDescent="0.4">
      <c r="A14" s="50"/>
      <c r="B14" s="51"/>
      <c r="C14" s="232" t="str">
        <f t="shared" si="0"/>
        <v/>
      </c>
      <c r="D14" s="96"/>
      <c r="E14" s="233" t="str">
        <f t="shared" si="1"/>
        <v/>
      </c>
      <c r="F14" s="195"/>
      <c r="G14" s="196"/>
      <c r="H14" s="52"/>
      <c r="I14" s="194"/>
      <c r="J14" s="229"/>
      <c r="K14" s="234" t="str">
        <f>IF(J14="","",IF(AND(ISNUMBER(SEARCH("overnight",J14)),E14&lt;24),"Error:Overnight&lt;24hrs",(VLOOKUP(J14,SubsistanceRates,IF(AND(A14&gt;='Lists and Rates'!$E$1,A14&lt;'Lists and Rates'!$F$1),2,IF(AND(A14&gt;='Lists and Rates'!$F$1,A14&lt;'Lists and Rates'!$G$1),3,IF(AND(A14&gt;='Lists and Rates'!$G$1,A14&lt;'Lists and Rates'!$H$1),4,IF(AND(A14&gt;='Lists and Rates'!$H$1,A14&lt;'Lists and Rates'!$I$1),5,6)))),0))))</f>
        <v/>
      </c>
      <c r="L14" s="235">
        <f ca="1">IF(AND(A14="",I14&lt;&gt;""),"Error Enter Date",IF($E$27+SUM($I$12:$I13)&gt;=$G$29,I14,IF(I14+$E$27+SUM($I$12:$I13)&lt;$G$29,0,I14+$E$27+SUM($I$12:$I13)-$G$29))*$H$39/100+(I14-IF($E$27+SUM($I$12:$I13)&gt;=$G$29,I14,IF(I14+$E$27+SUM($I$12:$I13)&lt;$G$29,0,I14+$E$27+SUM($I$12:$I13)-$G$29)))*$E$39/100)</f>
        <v>0</v>
      </c>
      <c r="M14" s="53"/>
      <c r="N14" s="54"/>
      <c r="O14" s="55"/>
      <c r="P14" s="140"/>
      <c r="Q14" s="130"/>
      <c r="R14" s="130"/>
      <c r="T14" s="107"/>
      <c r="V14" s="130"/>
      <c r="W14" s="130"/>
    </row>
    <row r="15" spans="1:31" ht="37.5" customHeight="1" x14ac:dyDescent="0.4">
      <c r="A15" s="50"/>
      <c r="B15" s="51"/>
      <c r="C15" s="232" t="str">
        <f t="shared" si="0"/>
        <v/>
      </c>
      <c r="D15" s="96"/>
      <c r="E15" s="233" t="str">
        <f t="shared" si="1"/>
        <v/>
      </c>
      <c r="F15" s="52"/>
      <c r="G15" s="196"/>
      <c r="H15" s="52"/>
      <c r="I15" s="194"/>
      <c r="J15" s="229"/>
      <c r="K15" s="234" t="str">
        <f>IF(J15="","",IF(AND(ISNUMBER(SEARCH("overnight",J15)),E15&lt;24),"Error:Overnight&lt;24hrs",(VLOOKUP(J15,SubsistanceRates,IF(AND(A15&gt;='Lists and Rates'!$E$1,A15&lt;'Lists and Rates'!$F$1),2,IF(AND(A15&gt;='Lists and Rates'!$F$1,A15&lt;'Lists and Rates'!$G$1),3,IF(AND(A15&gt;='Lists and Rates'!$G$1,A15&lt;'Lists and Rates'!$H$1),4,IF(AND(A15&gt;='Lists and Rates'!$H$1,A15&lt;'Lists and Rates'!$I$1),5,6)))),0))))</f>
        <v/>
      </c>
      <c r="L15" s="235">
        <f ca="1">IF(AND(A15="",I15&lt;&gt;""),"Error Enter Date",IF($E$27+SUM($I$12:$I14)&gt;=$G$29,I15,IF(I15+$E$27+SUM($I$12:$I14)&lt;$G$29,0,I15+$E$27+SUM($I$12:$I14)-$G$29))*$H$39/100+(I15-IF($E$27+SUM($I$12:$I14)&gt;=$G$29,I15,IF(I15+$E$27+SUM($I$12:$I14)&lt;$G$29,0,I15+$E$27+SUM($I$12:$I14)-$G$29)))*$E$39/100)</f>
        <v>0</v>
      </c>
      <c r="M15" s="57"/>
      <c r="N15" s="54"/>
      <c r="O15" s="55"/>
      <c r="P15" s="140"/>
      <c r="Q15" s="130"/>
      <c r="R15" s="130"/>
      <c r="T15" s="107"/>
      <c r="V15" s="130"/>
      <c r="W15" s="130"/>
    </row>
    <row r="16" spans="1:31" ht="37.5" customHeight="1" x14ac:dyDescent="0.4">
      <c r="A16" s="50"/>
      <c r="B16" s="51"/>
      <c r="C16" s="232" t="str">
        <f t="shared" si="0"/>
        <v/>
      </c>
      <c r="D16" s="96"/>
      <c r="E16" s="233" t="str">
        <f t="shared" si="1"/>
        <v/>
      </c>
      <c r="F16" s="195"/>
      <c r="G16" s="196"/>
      <c r="H16" s="52"/>
      <c r="I16" s="194"/>
      <c r="J16" s="229"/>
      <c r="K16" s="234" t="str">
        <f>IF(J16="","",IF(AND(ISNUMBER(SEARCH("overnight",J16)),E16&lt;24),"Error:Overnight&lt;24hrs",(VLOOKUP(J16,SubsistanceRates,IF(AND(A16&gt;='Lists and Rates'!$E$1,A16&lt;'Lists and Rates'!$F$1),2,IF(AND(A16&gt;='Lists and Rates'!$F$1,A16&lt;'Lists and Rates'!$G$1),3,IF(AND(A16&gt;='Lists and Rates'!$G$1,A16&lt;'Lists and Rates'!$H$1),4,IF(AND(A16&gt;='Lists and Rates'!$H$1,A16&lt;'Lists and Rates'!$I$1),5,6)))),0))))</f>
        <v/>
      </c>
      <c r="L16" s="235">
        <f ca="1">IF(AND(A16="",I16&lt;&gt;""),"Error Enter Date",IF($E$27+SUM($I$12:$I15)&gt;=$G$29,I16,IF(I16+$E$27+SUM($I$12:$I15)&lt;$G$29,0,I16+$E$27+SUM($I$12:$I15)-$G$29))*$H$39/100+(I16-IF($E$27+SUM($I$12:$I15)&gt;=$G$29,I16,IF(I16+$E$27+SUM($I$12:$I15)&lt;$G$29,0,I16+$E$27+SUM($I$12:$I15)-$G$29)))*$E$39/100)</f>
        <v>0</v>
      </c>
      <c r="M16" s="53"/>
      <c r="N16" s="54"/>
      <c r="O16" s="55"/>
      <c r="P16" s="140"/>
      <c r="Q16" s="130"/>
      <c r="R16" s="130"/>
      <c r="T16" s="107"/>
      <c r="V16" s="130"/>
      <c r="W16" s="130"/>
    </row>
    <row r="17" spans="1:36" ht="37.5" customHeight="1" x14ac:dyDescent="0.4">
      <c r="A17" s="50"/>
      <c r="B17" s="51"/>
      <c r="C17" s="232" t="str">
        <f t="shared" si="0"/>
        <v/>
      </c>
      <c r="D17" s="96"/>
      <c r="E17" s="233" t="str">
        <f t="shared" si="1"/>
        <v/>
      </c>
      <c r="F17" s="52"/>
      <c r="G17" s="196"/>
      <c r="H17" s="52"/>
      <c r="I17" s="194"/>
      <c r="J17" s="229"/>
      <c r="K17" s="234" t="str">
        <f>IF(J17="","",IF(AND(ISNUMBER(SEARCH("overnight",J17)),E17&lt;24),"Error:Overnight&lt;24hrs",(VLOOKUP(J17,SubsistanceRates,IF(AND(A17&gt;='Lists and Rates'!$E$1,A17&lt;'Lists and Rates'!$F$1),2,IF(AND(A17&gt;='Lists and Rates'!$F$1,A17&lt;'Lists and Rates'!$G$1),3,IF(AND(A17&gt;='Lists and Rates'!$G$1,A17&lt;'Lists and Rates'!$H$1),4,IF(AND(A17&gt;='Lists and Rates'!$H$1,A17&lt;'Lists and Rates'!$I$1),5,6)))),0))))</f>
        <v/>
      </c>
      <c r="L17" s="235">
        <f ca="1">IF(AND(A17="",I17&lt;&gt;""),"Error Enter Date",IF($E$27+SUM($I$12:$I16)&gt;=$G$29,I17,IF(I17+$E$27+SUM($I$12:$I16)&lt;$G$29,0,I17+$E$27+SUM($I$12:$I16)-$G$29))*$H$39/100+(I17-IF($E$27+SUM($I$12:$I16)&gt;=$G$29,I17,IF(I17+$E$27+SUM($I$12:$I16)&lt;$G$29,0,I17+$E$27+SUM($I$12:$I16)-$G$29)))*$E$39/100)</f>
        <v>0</v>
      </c>
      <c r="M17" s="53"/>
      <c r="N17" s="54"/>
      <c r="O17" s="55"/>
      <c r="P17" s="140"/>
      <c r="Q17" s="130"/>
      <c r="R17" s="130"/>
      <c r="T17" s="107"/>
      <c r="V17" s="130"/>
      <c r="W17" s="130"/>
    </row>
    <row r="18" spans="1:36" ht="37.5" customHeight="1" x14ac:dyDescent="0.4">
      <c r="A18" s="50"/>
      <c r="B18" s="51"/>
      <c r="C18" s="232" t="str">
        <f t="shared" si="0"/>
        <v/>
      </c>
      <c r="D18" s="96"/>
      <c r="E18" s="233" t="str">
        <f t="shared" si="1"/>
        <v/>
      </c>
      <c r="F18" s="195"/>
      <c r="G18" s="196"/>
      <c r="H18" s="52"/>
      <c r="I18" s="194"/>
      <c r="J18" s="229"/>
      <c r="K18" s="234" t="str">
        <f>IF(J18="","",IF(AND(ISNUMBER(SEARCH("overnight",J18)),E18&lt;24),"Error:Overnight&lt;24hrs",(VLOOKUP(J18,SubsistanceRates,IF(AND(A18&gt;='Lists and Rates'!$E$1,A18&lt;'Lists and Rates'!$F$1),2,IF(AND(A18&gt;='Lists and Rates'!$F$1,A18&lt;'Lists and Rates'!$G$1),3,IF(AND(A18&gt;='Lists and Rates'!$G$1,A18&lt;'Lists and Rates'!$H$1),4,IF(AND(A18&gt;='Lists and Rates'!$H$1,A18&lt;'Lists and Rates'!$I$1),5,6)))),0))))</f>
        <v/>
      </c>
      <c r="L18" s="235">
        <f ca="1">IF(AND(A18="",I18&lt;&gt;""),"Error Enter Date",IF($E$27+SUM($I$12:$I17)&gt;=$G$29,I18,IF(I18+$E$27+SUM($I$12:$I17)&lt;$G$29,0,I18+$E$27+SUM($I$12:$I17)-$G$29))*$H$39/100+(I18-IF($E$27+SUM($I$12:$I17)&gt;=$G$29,I18,IF(I18+$E$27+SUM($I$12:$I17)&lt;$G$29,0,I18+$E$27+SUM($I$12:$I17)-$G$29)))*$E$39/100)</f>
        <v>0</v>
      </c>
      <c r="M18" s="53"/>
      <c r="N18" s="54"/>
      <c r="O18" s="55"/>
      <c r="P18" s="140"/>
      <c r="Q18" s="130"/>
      <c r="R18" s="130"/>
      <c r="T18" s="107"/>
      <c r="V18" s="130"/>
      <c r="W18" s="130"/>
    </row>
    <row r="19" spans="1:36" ht="37.5" customHeight="1" x14ac:dyDescent="0.4">
      <c r="A19" s="56"/>
      <c r="B19" s="51"/>
      <c r="C19" s="232" t="str">
        <f t="shared" si="0"/>
        <v/>
      </c>
      <c r="D19" s="96"/>
      <c r="E19" s="233" t="str">
        <f t="shared" si="1"/>
        <v/>
      </c>
      <c r="F19" s="52"/>
      <c r="G19" s="196"/>
      <c r="H19" s="52"/>
      <c r="I19" s="194"/>
      <c r="J19" s="229"/>
      <c r="K19" s="234" t="str">
        <f>IF(J19="","",IF(AND(ISNUMBER(SEARCH("overnight",J19)),E19&lt;24),"Error:Overnight&lt;24hrs",(VLOOKUP(J19,SubsistanceRates,IF(AND(A19&gt;='Lists and Rates'!$E$1,A19&lt;'Lists and Rates'!$F$1),2,IF(AND(A19&gt;='Lists and Rates'!$F$1,A19&lt;'Lists and Rates'!$G$1),3,IF(AND(A19&gt;='Lists and Rates'!$G$1,A19&lt;'Lists and Rates'!$H$1),4,IF(AND(A19&gt;='Lists and Rates'!$H$1,A19&lt;'Lists and Rates'!$I$1),5,6)))),0))))</f>
        <v/>
      </c>
      <c r="L19" s="235">
        <f ca="1">IF(AND(A19="",I19&lt;&gt;""),"Error Enter Date",IF($E$27+SUM($I$12:$I18)&gt;=$G$29,I19,IF(I19+$E$27+SUM($I$12:$I18)&lt;$G$29,0,I19+$E$27+SUM($I$12:$I18)-$G$29))*$H$39/100+(I19-IF($E$27+SUM($I$12:$I18)&gt;=$G$29,I19,IF(I19+$E$27+SUM($I$12:$I18)&lt;$G$29,0,I19+$E$27+SUM($I$12:$I18)-$G$29)))*$E$39/100)</f>
        <v>0</v>
      </c>
      <c r="M19" s="57"/>
      <c r="N19" s="54"/>
      <c r="O19" s="55"/>
      <c r="P19" s="140"/>
      <c r="Q19" s="130"/>
      <c r="R19" s="130"/>
      <c r="T19" s="107"/>
      <c r="V19" s="130"/>
      <c r="W19" s="130"/>
    </row>
    <row r="20" spans="1:36" ht="37.5" customHeight="1" x14ac:dyDescent="0.4">
      <c r="A20" s="56"/>
      <c r="B20" s="51"/>
      <c r="C20" s="232" t="str">
        <f t="shared" si="0"/>
        <v/>
      </c>
      <c r="D20" s="96"/>
      <c r="E20" s="233" t="str">
        <f t="shared" si="1"/>
        <v/>
      </c>
      <c r="F20" s="195"/>
      <c r="G20" s="196"/>
      <c r="H20" s="52"/>
      <c r="I20" s="194"/>
      <c r="J20" s="229"/>
      <c r="K20" s="234" t="str">
        <f>IF(J20="","",IF(AND(ISNUMBER(SEARCH("overnight",J20)),E20&lt;24),"Error:Overnight&lt;24hrs",(VLOOKUP(J20,SubsistanceRates,IF(AND(A20&gt;='Lists and Rates'!$E$1,A20&lt;'Lists and Rates'!$F$1),2,IF(AND(A20&gt;='Lists and Rates'!$F$1,A20&lt;'Lists and Rates'!$G$1),3,IF(AND(A20&gt;='Lists and Rates'!$G$1,A20&lt;'Lists and Rates'!$H$1),4,IF(AND(A20&gt;='Lists and Rates'!$H$1,A20&lt;'Lists and Rates'!$I$1),5,6)))),0))))</f>
        <v/>
      </c>
      <c r="L20" s="235">
        <f ca="1">IF(AND(A20="",I20&lt;&gt;""),"Error Enter Date",IF($E$27+SUM($I$12:$I19)&gt;=$G$29,I20,IF(I20+$E$27+SUM($I$12:$I19)&lt;$G$29,0,I20+$E$27+SUM($I$12:$I19)-$G$29))*$H$39/100+(I20-IF($E$27+SUM($I$12:$I19)&gt;=$G$29,I20,IF(I20+$E$27+SUM($I$12:$I19)&lt;$G$29,0,I20+$E$27+SUM($I$12:$I19)-$G$29)))*$E$39/100)</f>
        <v>0</v>
      </c>
      <c r="M20" s="53"/>
      <c r="N20" s="54"/>
      <c r="O20" s="55"/>
      <c r="P20" s="140"/>
      <c r="Q20" s="130"/>
      <c r="R20" s="130"/>
      <c r="T20" s="107"/>
      <c r="V20" s="130"/>
      <c r="W20" s="130"/>
    </row>
    <row r="21" spans="1:36" ht="37.5" customHeight="1" x14ac:dyDescent="0.4">
      <c r="A21" s="56"/>
      <c r="B21" s="51"/>
      <c r="C21" s="232" t="str">
        <f t="shared" si="0"/>
        <v/>
      </c>
      <c r="D21" s="96"/>
      <c r="E21" s="233" t="str">
        <f t="shared" si="1"/>
        <v/>
      </c>
      <c r="F21" s="52"/>
      <c r="G21" s="196"/>
      <c r="H21" s="52"/>
      <c r="I21" s="194"/>
      <c r="J21" s="229"/>
      <c r="K21" s="234" t="str">
        <f>IF(J21="","",IF(AND(ISNUMBER(SEARCH("overnight",J21)),E21&lt;24),"Error:Overnight&lt;24hrs",(VLOOKUP(J21,SubsistanceRates,IF(AND(A21&gt;='Lists and Rates'!$E$1,A21&lt;'Lists and Rates'!$F$1),2,IF(AND(A21&gt;='Lists and Rates'!$F$1,A21&lt;'Lists and Rates'!$G$1),3,IF(AND(A21&gt;='Lists and Rates'!$G$1,A21&lt;'Lists and Rates'!$H$1),4,IF(AND(A21&gt;='Lists and Rates'!$H$1,A21&lt;'Lists and Rates'!$I$1),5,6)))),0))))</f>
        <v/>
      </c>
      <c r="L21" s="235">
        <f ca="1">IF(AND(A21="",I21&lt;&gt;""),"Error Enter Date",IF($E$27+SUM($I$12:$I20)&gt;=$G$29,I21,IF(I21+$E$27+SUM($I$12:$I20)&lt;$G$29,0,I21+$E$27+SUM($I$12:$I20)-$G$29))*$H$39/100+(I21-IF($E$27+SUM($I$12:$I20)&gt;=$G$29,I21,IF(I21+$E$27+SUM($I$12:$I20)&lt;$G$29,0,I21+$E$27+SUM($I$12:$I20)-$G$29)))*$E$39/100)</f>
        <v>0</v>
      </c>
      <c r="M21" s="53"/>
      <c r="N21" s="54"/>
      <c r="O21" s="55"/>
      <c r="P21" s="140"/>
      <c r="Q21" s="130"/>
      <c r="R21" s="130"/>
      <c r="T21" s="107"/>
      <c r="V21" s="130"/>
      <c r="W21" s="130"/>
    </row>
    <row r="22" spans="1:36" ht="37.5" customHeight="1" x14ac:dyDescent="0.4">
      <c r="A22" s="56"/>
      <c r="B22" s="51"/>
      <c r="C22" s="232" t="str">
        <f t="shared" si="0"/>
        <v/>
      </c>
      <c r="D22" s="96"/>
      <c r="E22" s="233" t="str">
        <f t="shared" si="1"/>
        <v/>
      </c>
      <c r="F22" s="195"/>
      <c r="G22" s="196"/>
      <c r="H22" s="52"/>
      <c r="I22" s="194"/>
      <c r="J22" s="229"/>
      <c r="K22" s="234" t="str">
        <f>IF(J22="","",IF(AND(ISNUMBER(SEARCH("overnight",J22)),E22&lt;24),"Error:Overnight&lt;24hrs",(VLOOKUP(J22,SubsistanceRates,IF(AND(A22&gt;='Lists and Rates'!$E$1,A22&lt;'Lists and Rates'!$F$1),2,IF(AND(A22&gt;='Lists and Rates'!$F$1,A22&lt;'Lists and Rates'!$G$1),3,IF(AND(A22&gt;='Lists and Rates'!$G$1,A22&lt;'Lists and Rates'!$H$1),4,IF(AND(A22&gt;='Lists and Rates'!$H$1,A22&lt;'Lists and Rates'!$I$1),5,6)))),0))))</f>
        <v/>
      </c>
      <c r="L22" s="235">
        <f ca="1">IF(AND(A22="",I22&lt;&gt;""),"Error Enter Date",IF($E$27+SUM($I$12:$I21)&gt;=$G$29,I22,IF(I22+$E$27+SUM($I$12:$I21)&lt;$G$29,0,I22+$E$27+SUM($I$12:$I21)-$G$29))*$H$39/100+(I22-IF($E$27+SUM($I$12:$I21)&gt;=$G$29,I22,IF(I22+$E$27+SUM($I$12:$I21)&lt;$G$29,0,I22+$E$27+SUM($I$12:$I21)-$G$29)))*$E$39/100)</f>
        <v>0</v>
      </c>
      <c r="M22" s="53"/>
      <c r="N22" s="54"/>
      <c r="O22" s="55"/>
      <c r="P22" s="140"/>
      <c r="Q22" s="130"/>
      <c r="R22" s="130"/>
      <c r="T22" s="107"/>
      <c r="V22" s="130"/>
      <c r="W22" s="130"/>
    </row>
    <row r="23" spans="1:36" ht="37.5" customHeight="1" x14ac:dyDescent="0.4">
      <c r="A23" s="50"/>
      <c r="B23" s="51"/>
      <c r="C23" s="232" t="str">
        <f t="shared" si="0"/>
        <v/>
      </c>
      <c r="D23" s="96"/>
      <c r="E23" s="233" t="str">
        <f t="shared" si="1"/>
        <v/>
      </c>
      <c r="F23" s="52"/>
      <c r="G23" s="196"/>
      <c r="H23" s="52"/>
      <c r="I23" s="194"/>
      <c r="J23" s="229"/>
      <c r="K23" s="234" t="str">
        <f>IF(J23="","",IF(AND(ISNUMBER(SEARCH("overnight",J23)),E23&lt;24),"Error:Overnight&lt;24hrs",(VLOOKUP(J23,SubsistanceRates,IF(AND(A23&gt;='Lists and Rates'!$E$1,A23&lt;'Lists and Rates'!$F$1),2,IF(AND(A23&gt;='Lists and Rates'!$F$1,A23&lt;'Lists and Rates'!$G$1),3,IF(AND(A23&gt;='Lists and Rates'!$G$1,A23&lt;'Lists and Rates'!$H$1),4,IF(AND(A23&gt;='Lists and Rates'!$H$1,A23&lt;'Lists and Rates'!$I$1),5,6)))),0))))</f>
        <v/>
      </c>
      <c r="L23" s="235">
        <f ca="1">IF(AND(A23="",I23&lt;&gt;""),"Error Enter Date",IF($E$27+SUM($I$12:$I22)&gt;=$G$29,I23,IF(I23+$E$27+SUM($I$12:$I22)&lt;$G$29,0,I23+$E$27+SUM($I$12:$I22)-$G$29))*$H$39/100+(I23-IF($E$27+SUM($I$12:$I22)&gt;=$G$29,I23,IF(I23+$E$27+SUM($I$12:$I22)&lt;$G$29,0,I23+$E$27+SUM($I$12:$I22)-$G$29)))*$E$39/100)</f>
        <v>0</v>
      </c>
      <c r="M23" s="53"/>
      <c r="N23" s="54"/>
      <c r="O23" s="55"/>
      <c r="P23" s="140"/>
      <c r="Q23" s="130"/>
      <c r="R23" s="130"/>
      <c r="T23" s="107"/>
      <c r="V23" s="130"/>
      <c r="W23" s="130"/>
    </row>
    <row r="24" spans="1:36" ht="37.5" customHeight="1" thickBot="1" x14ac:dyDescent="0.45">
      <c r="A24" s="50"/>
      <c r="B24" s="51"/>
      <c r="C24" s="232" t="str">
        <f t="shared" si="0"/>
        <v/>
      </c>
      <c r="D24" s="97"/>
      <c r="E24" s="233" t="str">
        <f t="shared" si="1"/>
        <v/>
      </c>
      <c r="F24" s="58"/>
      <c r="G24" s="70"/>
      <c r="H24" s="52"/>
      <c r="I24" s="194"/>
      <c r="J24" s="229"/>
      <c r="K24" s="234" t="str">
        <f>IF(J24="","",IF(AND(ISNUMBER(SEARCH("overnight",J24)),E24&lt;24),"Error:Overnight&lt;24hrs",(VLOOKUP(J24,SubsistanceRates,IF(AND(A24&gt;='Lists and Rates'!$E$1,A24&lt;'Lists and Rates'!$F$1),2,IF(AND(A24&gt;='Lists and Rates'!$F$1,A24&lt;'Lists and Rates'!$G$1),3,IF(AND(A24&gt;='Lists and Rates'!$G$1,A24&lt;'Lists and Rates'!$H$1),4,IF(AND(A24&gt;='Lists and Rates'!$H$1,A24&lt;'Lists and Rates'!$I$1),5,6)))),0))))</f>
        <v/>
      </c>
      <c r="L24" s="235">
        <f ca="1">IF(AND(A24="",I24&lt;&gt;""),"Error Enter Date",IF($E$27+SUM($I$12:$I23)&gt;=$G$29,I24,IF(I24+$E$27+SUM($I$12:$I23)&lt;$G$29,0,I24+$E$27+SUM($I$12:$I23)-$G$29))*$H$39/100+(I24-IF($E$27+SUM($I$12:$I23)&gt;=$G$29,I24,IF(I24+$E$27+SUM($I$12:$I23)&lt;$G$29,0,I24+$E$27+SUM($I$12:$I23)-$G$29)))*$E$39/100)</f>
        <v>0</v>
      </c>
      <c r="M24" s="59"/>
      <c r="N24" s="60"/>
      <c r="O24" s="61"/>
      <c r="P24" s="140"/>
      <c r="Q24" s="130"/>
      <c r="R24" s="130"/>
      <c r="T24" s="107"/>
      <c r="V24" s="130"/>
      <c r="W24" s="130"/>
    </row>
    <row r="25" spans="1:36" ht="21.9" customHeight="1" thickBot="1" x14ac:dyDescent="0.45">
      <c r="A25" s="226"/>
      <c r="B25" s="62"/>
      <c r="C25" s="63"/>
      <c r="D25" s="64"/>
      <c r="E25" s="230">
        <f>SUM(E13:E24)</f>
        <v>0</v>
      </c>
      <c r="F25" s="65"/>
      <c r="G25" s="66" t="s">
        <v>2</v>
      </c>
      <c r="H25" s="66"/>
      <c r="I25" s="67">
        <f>SUM(I13:I24)</f>
        <v>0</v>
      </c>
      <c r="J25" s="67"/>
      <c r="K25" s="175">
        <f>SUM(K13:K24)</f>
        <v>0</v>
      </c>
      <c r="L25" s="221">
        <f ca="1">IF(F6&lt;&gt;"","Error",SUM(L13:L24))</f>
        <v>0</v>
      </c>
      <c r="M25" s="68">
        <f>SUM(M13:M24)</f>
        <v>0</v>
      </c>
      <c r="N25" s="69">
        <f>SUM(N13:N24)</f>
        <v>0</v>
      </c>
      <c r="O25" s="145"/>
      <c r="P25" s="142"/>
      <c r="Q25" s="141"/>
      <c r="R25" s="130"/>
      <c r="AC25" s="106"/>
      <c r="AD25" s="106"/>
      <c r="AE25" s="106"/>
      <c r="AJ25" s="105"/>
    </row>
    <row r="26" spans="1:36" ht="26.25" customHeight="1" thickBot="1" x14ac:dyDescent="0.45">
      <c r="A26" s="286" t="str">
        <f ca="1">IF('Lists and Rates'!Q13='Lists and Rates'!Q14,"","ERROR: Dates entered cover more than one Circular for mileage. Please separate into 2 separate claims.")</f>
        <v/>
      </c>
      <c r="B26" s="286"/>
      <c r="C26" s="286"/>
      <c r="D26" s="286"/>
      <c r="E26" s="286"/>
      <c r="F26" s="286"/>
      <c r="G26" s="286"/>
      <c r="H26" s="286"/>
      <c r="I26" s="286"/>
      <c r="J26" s="286"/>
      <c r="K26" s="286"/>
      <c r="L26" s="286"/>
    </row>
    <row r="27" spans="1:36" ht="26.25" customHeight="1" thickBot="1" x14ac:dyDescent="0.45">
      <c r="A27" s="148"/>
      <c r="B27" s="149"/>
      <c r="C27" s="150"/>
      <c r="D27" s="150" t="s">
        <v>51</v>
      </c>
      <c r="E27" s="85">
        <v>0</v>
      </c>
      <c r="F27" s="2" t="str">
        <f>IF(E9="KMs","in Km's","in Miles")</f>
        <v>in Km's</v>
      </c>
      <c r="G27" s="184" t="s">
        <v>69</v>
      </c>
      <c r="H27" s="184" t="s">
        <v>82</v>
      </c>
      <c r="I27" s="278" t="s">
        <v>24</v>
      </c>
      <c r="J27" s="279"/>
      <c r="K27" s="279"/>
      <c r="L27" s="279"/>
      <c r="M27" s="279"/>
      <c r="N27" s="279"/>
      <c r="O27" s="280"/>
    </row>
    <row r="28" spans="1:36" ht="26.25" customHeight="1" thickBot="1" x14ac:dyDescent="0.45">
      <c r="A28" s="148"/>
      <c r="B28" s="146"/>
      <c r="C28" s="146"/>
      <c r="D28" s="150" t="s">
        <v>55</v>
      </c>
      <c r="E28" s="119">
        <v>0</v>
      </c>
      <c r="F28" s="44"/>
      <c r="G28" s="185" t="str">
        <f>IF(E27&lt;1500,"Band 1",IF(E27&lt;5500,"Band 2",IF(E27&lt;25000,"Band 3",IF(E27&gt;25000,"Band 4","Band 4"))))</f>
        <v>Band 1</v>
      </c>
      <c r="H28" s="185" t="str">
        <f>IF(E27&lt;1500,"Band 2",IF(E27&lt;5500,"Band 3",IF(E27&lt;25000,"Band 4","Band 4")))</f>
        <v>Band 2</v>
      </c>
      <c r="I28" s="258" t="s">
        <v>6</v>
      </c>
      <c r="J28" s="259"/>
      <c r="K28" s="259"/>
      <c r="L28" s="259"/>
      <c r="M28" s="259"/>
      <c r="N28" s="259"/>
      <c r="O28" s="82"/>
    </row>
    <row r="29" spans="1:36" ht="26.25" customHeight="1" thickBot="1" x14ac:dyDescent="0.45">
      <c r="A29" s="151"/>
      <c r="B29" s="152"/>
      <c r="C29" s="147"/>
      <c r="D29" s="150" t="s">
        <v>56</v>
      </c>
      <c r="E29" s="119">
        <v>0</v>
      </c>
      <c r="F29" s="1"/>
      <c r="G29" s="185">
        <f>'Lists and Rates'!P11</f>
        <v>1500</v>
      </c>
      <c r="H29" s="185">
        <f>'Lists and Rates'!Q11</f>
        <v>5500</v>
      </c>
      <c r="I29" s="260" t="s">
        <v>7</v>
      </c>
      <c r="J29" s="261"/>
      <c r="K29" s="261"/>
      <c r="L29" s="261"/>
      <c r="M29" s="261"/>
      <c r="N29" s="261"/>
      <c r="O29" s="83"/>
    </row>
    <row r="30" spans="1:36" ht="26.25" customHeight="1" thickBot="1" x14ac:dyDescent="0.45">
      <c r="A30" s="151"/>
      <c r="B30" s="146"/>
      <c r="C30" s="153"/>
      <c r="D30" s="154" t="s">
        <v>29</v>
      </c>
      <c r="E30" s="35"/>
      <c r="F30" s="1"/>
      <c r="G30" s="1"/>
      <c r="H30" s="1"/>
      <c r="I30" s="260" t="s">
        <v>11</v>
      </c>
      <c r="J30" s="261"/>
      <c r="K30" s="261"/>
      <c r="L30" s="261"/>
      <c r="M30" s="261"/>
      <c r="N30" s="261"/>
      <c r="O30" s="83"/>
      <c r="AB30" s="187"/>
    </row>
    <row r="31" spans="1:36" ht="26.25" customHeight="1" x14ac:dyDescent="0.4">
      <c r="A31" s="151"/>
      <c r="B31" s="155" t="s">
        <v>31</v>
      </c>
      <c r="C31" s="156"/>
      <c r="D31" s="156"/>
      <c r="E31" s="45">
        <f>K25</f>
        <v>0</v>
      </c>
      <c r="F31" s="1"/>
      <c r="H31" s="1"/>
      <c r="I31" s="25"/>
      <c r="J31" s="26"/>
      <c r="K31" s="26"/>
      <c r="L31" s="26"/>
      <c r="M31" s="26"/>
      <c r="N31" s="26"/>
      <c r="O31" s="83"/>
      <c r="AB31" s="187"/>
    </row>
    <row r="32" spans="1:36" ht="26.25" customHeight="1" x14ac:dyDescent="0.4">
      <c r="A32" s="151"/>
      <c r="B32" s="157" t="s">
        <v>46</v>
      </c>
      <c r="C32" s="158"/>
      <c r="D32" s="158"/>
      <c r="E32" s="46">
        <f ca="1">L25</f>
        <v>0</v>
      </c>
      <c r="H32" s="1"/>
      <c r="I32" s="27" t="s">
        <v>41</v>
      </c>
      <c r="J32" s="18"/>
      <c r="K32" s="28"/>
      <c r="L32" s="80" t="s">
        <v>116</v>
      </c>
      <c r="M32" s="80" t="s">
        <v>115</v>
      </c>
      <c r="N32" s="80"/>
      <c r="O32" s="126" t="s">
        <v>117</v>
      </c>
      <c r="AB32" s="187"/>
    </row>
    <row r="33" spans="1:28" ht="26.25" customHeight="1" x14ac:dyDescent="0.4">
      <c r="A33" s="151"/>
      <c r="B33" s="157" t="s">
        <v>32</v>
      </c>
      <c r="C33" s="158"/>
      <c r="D33" s="158"/>
      <c r="E33" s="46">
        <f>M25</f>
        <v>0</v>
      </c>
      <c r="H33" s="1"/>
      <c r="I33" s="29"/>
      <c r="J33" s="30" t="s">
        <v>10</v>
      </c>
      <c r="K33" s="30"/>
      <c r="L33" s="30"/>
      <c r="M33" s="31"/>
      <c r="N33" s="31"/>
      <c r="O33" s="83"/>
      <c r="AB33" s="187"/>
    </row>
    <row r="34" spans="1:28" ht="26.25" customHeight="1" thickBot="1" x14ac:dyDescent="0.45">
      <c r="A34" s="151"/>
      <c r="B34" s="159" t="s">
        <v>33</v>
      </c>
      <c r="C34" s="160"/>
      <c r="D34" s="160"/>
      <c r="E34" s="47">
        <f>N25</f>
        <v>0</v>
      </c>
      <c r="H34" s="1"/>
      <c r="I34" s="260" t="s">
        <v>8</v>
      </c>
      <c r="J34" s="261"/>
      <c r="K34" s="261"/>
      <c r="L34" s="261"/>
      <c r="M34" s="261"/>
      <c r="N34" s="261"/>
      <c r="O34" s="83"/>
      <c r="AB34" s="193"/>
    </row>
    <row r="35" spans="1:28" ht="26.25" customHeight="1" x14ac:dyDescent="0.4">
      <c r="A35" s="151"/>
      <c r="B35" s="146"/>
      <c r="C35" s="153"/>
      <c r="D35" s="161"/>
      <c r="E35" s="41"/>
      <c r="H35" s="1"/>
      <c r="I35" s="260" t="s">
        <v>9</v>
      </c>
      <c r="J35" s="261"/>
      <c r="K35" s="261"/>
      <c r="L35" s="261"/>
      <c r="M35" s="261"/>
      <c r="N35" s="261"/>
      <c r="O35" s="83"/>
      <c r="AB35" s="193"/>
    </row>
    <row r="36" spans="1:28" ht="26.25" customHeight="1" thickBot="1" x14ac:dyDescent="0.45">
      <c r="A36" s="151"/>
      <c r="B36" s="162"/>
      <c r="C36" s="163"/>
      <c r="D36" s="164" t="s">
        <v>34</v>
      </c>
      <c r="E36" s="48">
        <f ca="1">IF(E27="","Error please check 'Official motor travel in a calander year'",SUM(E31:E34))</f>
        <v>0</v>
      </c>
      <c r="H36" s="1"/>
      <c r="I36" s="25"/>
      <c r="J36" s="26"/>
      <c r="K36" s="26"/>
      <c r="L36" s="26"/>
      <c r="M36" s="26"/>
      <c r="N36" s="26"/>
      <c r="O36" s="83"/>
    </row>
    <row r="37" spans="1:28" ht="26.25" customHeight="1" thickTop="1" thickBot="1" x14ac:dyDescent="0.45">
      <c r="A37" s="165"/>
      <c r="B37" s="146"/>
      <c r="C37" s="153"/>
      <c r="D37" s="161"/>
      <c r="E37" s="41"/>
      <c r="H37" s="1"/>
      <c r="I37" s="32"/>
      <c r="J37" s="38"/>
      <c r="K37" s="38"/>
      <c r="L37" s="38"/>
      <c r="M37" s="39"/>
      <c r="N37" s="39"/>
      <c r="O37" s="83"/>
    </row>
    <row r="38" spans="1:28" ht="26.25" customHeight="1" thickBot="1" x14ac:dyDescent="0.45">
      <c r="A38" s="165"/>
      <c r="B38" s="166" t="str">
        <f>IF(E9="KMs","Number of Km's","Number of Miles")</f>
        <v>Number of Km's</v>
      </c>
      <c r="C38" s="167"/>
      <c r="D38" s="168"/>
      <c r="E38" s="49">
        <f>I25</f>
        <v>0</v>
      </c>
      <c r="F38" s="20"/>
      <c r="H38" s="198" t="s">
        <v>83</v>
      </c>
      <c r="I38" s="197" t="s">
        <v>53</v>
      </c>
      <c r="J38" s="31"/>
      <c r="K38" s="31"/>
      <c r="L38" s="31"/>
      <c r="M38" s="36" t="s">
        <v>3</v>
      </c>
      <c r="N38" s="36"/>
      <c r="O38" s="126" t="s">
        <v>58</v>
      </c>
    </row>
    <row r="39" spans="1:28" ht="26.25" customHeight="1" thickBot="1" x14ac:dyDescent="0.45">
      <c r="A39" s="169"/>
      <c r="B39" s="170" t="s">
        <v>18</v>
      </c>
      <c r="C39" s="171"/>
      <c r="D39" s="172"/>
      <c r="E39" s="190">
        <f ca="1">'Lists and Rates'!P9</f>
        <v>51.82</v>
      </c>
      <c r="F39" s="20" t="str">
        <f>IF(E9="KMs","Cent per Km","Cent per Mile")</f>
        <v>Cent per Km</v>
      </c>
      <c r="H39" s="199">
        <f ca="1">'Lists and Rates'!Q9</f>
        <v>90.63</v>
      </c>
      <c r="I39" s="26"/>
      <c r="J39" s="33" t="s">
        <v>4</v>
      </c>
      <c r="K39" s="33"/>
      <c r="L39" s="33"/>
      <c r="M39" s="26"/>
      <c r="N39" s="26"/>
      <c r="O39" s="83"/>
    </row>
    <row r="40" spans="1:28" ht="26.25" customHeight="1" x14ac:dyDescent="0.4">
      <c r="A40" s="173"/>
      <c r="B40" s="146"/>
      <c r="C40" s="146"/>
      <c r="D40" s="147"/>
      <c r="H40" s="1"/>
      <c r="I40" s="71" t="s">
        <v>11</v>
      </c>
      <c r="J40" s="26"/>
      <c r="K40" s="26"/>
      <c r="L40" s="26"/>
      <c r="M40" s="26"/>
      <c r="N40" s="26"/>
      <c r="O40" s="83"/>
    </row>
    <row r="41" spans="1:28" ht="26.25" customHeight="1" thickBot="1" x14ac:dyDescent="0.45">
      <c r="A41" s="169"/>
      <c r="B41" s="146"/>
      <c r="C41" s="146"/>
      <c r="D41" s="147"/>
      <c r="H41" s="1"/>
      <c r="I41" s="72" t="s">
        <v>14</v>
      </c>
      <c r="J41" s="34"/>
      <c r="K41" s="34"/>
      <c r="L41" s="34"/>
      <c r="M41" s="35"/>
      <c r="N41" s="81"/>
      <c r="O41" s="83"/>
    </row>
    <row r="42" spans="1:28" ht="26.25" customHeight="1" thickBot="1" x14ac:dyDescent="0.45">
      <c r="A42" s="108"/>
      <c r="B42" s="109"/>
      <c r="C42" s="109"/>
      <c r="D42" s="110"/>
      <c r="E42" s="110"/>
      <c r="F42" s="111"/>
      <c r="H42" s="1"/>
      <c r="I42" s="275" t="s">
        <v>47</v>
      </c>
      <c r="J42" s="276"/>
      <c r="K42" s="276"/>
      <c r="L42" s="276"/>
      <c r="M42" s="276"/>
      <c r="N42" s="276"/>
      <c r="O42" s="277"/>
    </row>
    <row r="43" spans="1:28" ht="26.25" customHeight="1" x14ac:dyDescent="0.4">
      <c r="A43" s="112"/>
      <c r="B43" s="113" t="s">
        <v>42</v>
      </c>
      <c r="C43" s="283" t="s">
        <v>43</v>
      </c>
      <c r="D43" s="283"/>
      <c r="E43" s="283"/>
      <c r="F43" s="284"/>
      <c r="H43" s="1"/>
      <c r="I43" s="40"/>
      <c r="J43" s="37"/>
      <c r="K43" s="37"/>
      <c r="L43" s="37"/>
      <c r="M43" s="37"/>
      <c r="N43" s="37"/>
      <c r="O43" s="83"/>
    </row>
    <row r="44" spans="1:28" ht="26.25" customHeight="1" x14ac:dyDescent="0.4">
      <c r="A44" s="112"/>
      <c r="B44" s="113" t="s">
        <v>59</v>
      </c>
      <c r="C44" s="256" t="s">
        <v>60</v>
      </c>
      <c r="D44" s="256"/>
      <c r="E44" s="256"/>
      <c r="F44" s="257"/>
      <c r="H44" s="1"/>
      <c r="I44" s="73" t="s">
        <v>13</v>
      </c>
      <c r="J44" s="74"/>
      <c r="K44" s="74"/>
      <c r="L44" s="74"/>
      <c r="M44" s="75"/>
      <c r="N44" s="75" t="s">
        <v>3</v>
      </c>
      <c r="O44" s="83"/>
    </row>
    <row r="45" spans="1:28" ht="26.25" customHeight="1" x14ac:dyDescent="0.4">
      <c r="A45" s="112"/>
      <c r="B45" s="113" t="s">
        <v>44</v>
      </c>
      <c r="C45" s="256" t="s">
        <v>45</v>
      </c>
      <c r="D45" s="256"/>
      <c r="E45" s="256"/>
      <c r="F45" s="257"/>
      <c r="H45" s="1"/>
      <c r="I45" s="76"/>
      <c r="J45" s="77"/>
      <c r="K45" s="77"/>
      <c r="L45" s="77"/>
      <c r="M45" s="75"/>
      <c r="N45" s="75"/>
      <c r="O45" s="83"/>
    </row>
    <row r="46" spans="1:28" ht="26.25" customHeight="1" thickBot="1" x14ac:dyDescent="0.45">
      <c r="A46" s="114"/>
      <c r="B46" s="115"/>
      <c r="C46" s="115"/>
      <c r="D46" s="116"/>
      <c r="E46" s="116"/>
      <c r="F46" s="117"/>
      <c r="H46" s="1"/>
      <c r="I46" s="73" t="s">
        <v>48</v>
      </c>
      <c r="J46" s="74"/>
      <c r="K46" s="74"/>
      <c r="L46" s="74"/>
      <c r="M46" s="75"/>
      <c r="N46" s="75" t="s">
        <v>3</v>
      </c>
      <c r="O46" s="83"/>
    </row>
    <row r="47" spans="1:28" ht="26.25" customHeight="1" thickBot="1" x14ac:dyDescent="0.45">
      <c r="A47" s="19"/>
      <c r="H47" s="1"/>
      <c r="I47" s="78"/>
      <c r="J47" s="79"/>
      <c r="K47" s="79"/>
      <c r="L47" s="79"/>
      <c r="M47" s="79"/>
      <c r="N47" s="79"/>
      <c r="O47" s="84"/>
    </row>
    <row r="48" spans="1:28" ht="20.100000000000001" hidden="1" customHeight="1" x14ac:dyDescent="0.4">
      <c r="H48" s="1"/>
      <c r="I48" s="1"/>
      <c r="J48" s="1"/>
      <c r="K48" s="1"/>
      <c r="L48" s="1"/>
    </row>
    <row r="49" spans="1:12" ht="20.100000000000001" hidden="1" customHeight="1" x14ac:dyDescent="0.4">
      <c r="A49" s="1"/>
      <c r="H49" s="1"/>
      <c r="I49" s="1"/>
      <c r="J49" s="1"/>
      <c r="K49" s="1"/>
      <c r="L49" s="1"/>
    </row>
    <row r="50" spans="1:12" ht="20.100000000000001" hidden="1" customHeight="1" x14ac:dyDescent="0.4">
      <c r="H50" s="1"/>
      <c r="I50" s="1"/>
      <c r="J50" s="1"/>
      <c r="K50" s="1"/>
      <c r="L50" s="1"/>
    </row>
    <row r="51" spans="1:12" ht="20.100000000000001" hidden="1" customHeight="1" x14ac:dyDescent="0.4">
      <c r="H51" s="1"/>
      <c r="I51" s="1"/>
      <c r="J51" s="1"/>
      <c r="K51" s="1"/>
      <c r="L51" s="1"/>
    </row>
    <row r="52" spans="1:12" ht="20.100000000000001" hidden="1" customHeight="1" x14ac:dyDescent="0.4">
      <c r="I52" s="1"/>
      <c r="J52" s="1"/>
      <c r="K52" s="1"/>
      <c r="L52" s="1"/>
    </row>
    <row r="53" spans="1:12" ht="20.100000000000001" hidden="1" customHeight="1" x14ac:dyDescent="0.4">
      <c r="I53" s="1"/>
      <c r="J53" s="1"/>
      <c r="K53" s="1"/>
      <c r="L53" s="1"/>
    </row>
    <row r="54" spans="1:12" x14ac:dyDescent="0.4"/>
    <row r="55" spans="1:12" x14ac:dyDescent="0.4"/>
    <row r="56" spans="1:12" x14ac:dyDescent="0.4"/>
  </sheetData>
  <mergeCells count="27">
    <mergeCell ref="F11:G11"/>
    <mergeCell ref="C44:F44"/>
    <mergeCell ref="A4:D4"/>
    <mergeCell ref="J4:K4"/>
    <mergeCell ref="J6:J8"/>
    <mergeCell ref="K6:K8"/>
    <mergeCell ref="I42:O42"/>
    <mergeCell ref="I27:O27"/>
    <mergeCell ref="K11:L11"/>
    <mergeCell ref="C43:F43"/>
    <mergeCell ref="A10:O10"/>
    <mergeCell ref="A26:L26"/>
    <mergeCell ref="C45:F45"/>
    <mergeCell ref="I28:N28"/>
    <mergeCell ref="I29:N29"/>
    <mergeCell ref="I30:N30"/>
    <mergeCell ref="I34:N34"/>
    <mergeCell ref="I35:N35"/>
    <mergeCell ref="M3:O3"/>
    <mergeCell ref="A6:B6"/>
    <mergeCell ref="A7:B7"/>
    <mergeCell ref="D7:E7"/>
    <mergeCell ref="D6:E6"/>
    <mergeCell ref="M7:O7"/>
    <mergeCell ref="J3:K3"/>
    <mergeCell ref="A3:D3"/>
    <mergeCell ref="F6:I8"/>
  </mergeCells>
  <phoneticPr fontId="0" type="noConversion"/>
  <conditionalFormatting sqref="K13:K24">
    <cfRule type="expression" dxfId="3" priority="4">
      <formula>IF(K13=0,1,0)</formula>
    </cfRule>
  </conditionalFormatting>
  <conditionalFormatting sqref="L25">
    <cfRule type="cellIs" dxfId="2" priority="3" operator="equal">
      <formula>"Error"</formula>
    </cfRule>
  </conditionalFormatting>
  <conditionalFormatting sqref="A26:L26">
    <cfRule type="notContainsBlanks" dxfId="1" priority="1">
      <formula>LEN(TRIM(A26))&gt;0</formula>
    </cfRule>
  </conditionalFormatting>
  <conditionalFormatting sqref="K13:K24">
    <cfRule type="expression" dxfId="0" priority="6">
      <formula>IF($E$27+SUM($I$12:$I12)&gt;=$G$29,1,0)</formula>
    </cfRule>
  </conditionalFormatting>
  <dataValidations xWindow="88" yWindow="595" count="14">
    <dataValidation type="date" allowBlank="1" showInputMessage="1" showErrorMessage="1" errorTitle="Enter Date in DD/MM/YYYY format" promptTitle="Enter in DD/MM/YYYY format" prompt="Please enter Date in DD/MM/YYYY format" sqref="A23:A24 A13:A18">
      <formula1>36526</formula1>
      <formula2>401768</formula2>
    </dataValidation>
    <dataValidation type="decimal" allowBlank="1" showInputMessage="1" showErrorMessage="1" errorTitle="Please enter numerical value" promptTitle="Year to date milage" prompt="Please enter your year to date total_x000a_" sqref="E27">
      <formula1>0</formula1>
      <formula2>100000000000</formula2>
    </dataValidation>
    <dataValidation type="date" allowBlank="1" showInputMessage="1" showErrorMessage="1" errorTitle="Enter time in HH:MM format" promptTitle="Enter Date in DD/MM/YYYY" prompt="Please enter date in DD/MM/YYYY format_x000a_" sqref="A19:A22">
      <formula1>36526</formula1>
      <formula2>401768</formula2>
    </dataValidation>
    <dataValidation type="list" allowBlank="1" showInputMessage="1" showErrorMessage="1" sqref="D7:E7">
      <formula1>engine</formula1>
    </dataValidation>
    <dataValidation type="list" allowBlank="1" showInputMessage="1" showErrorMessage="1" sqref="E9">
      <formula1>KMSorMiles</formula1>
    </dataValidation>
    <dataValidation allowBlank="1" showInputMessage="1" showErrorMessage="1" prompt="All Fields in Green Must Be completed or Error will show" sqref="L25"/>
    <dataValidation allowBlank="1" showInputMessage="1" showErrorMessage="1" errorTitle="Please enter numerical value" sqref="I13:I24"/>
    <dataValidation type="time" allowBlank="1" showInputMessage="1" showErrorMessage="1" errorTitle="Enter time in HH:MM format" promptTitle="Enter Time in HH:MM format (24h)" prompt="Please enter time in HH:MM format (24h)_x000a_" sqref="D13:D24 B13:B24">
      <formula1>0</formula1>
      <formula2>0.999988425925926</formula2>
    </dataValidation>
    <dataValidation allowBlank="1" showInputMessage="1" showErrorMessage="1" promptTitle="Circular 11/82" prompt="Mileage claims should be made from your home or your place of work whichever is closest to your destination" sqref="F13:G24"/>
    <dataValidation allowBlank="1" showErrorMessage="1" sqref="K13:K24"/>
    <dataValidation type="list" allowBlank="1" showInputMessage="1" showErrorMessage="1" errorTitle="Please select from menu" sqref="J13:J24">
      <formula1>SubsistanceDef</formula1>
    </dataValidation>
    <dataValidation type="list" allowBlank="1" showInputMessage="1" showErrorMessage="1" promptTitle="Return Journey" prompt="Please include total kilometers/miles if entering a return journey" sqref="H13:H24">
      <formula1>ReturnJourney</formula1>
    </dataValidation>
    <dataValidation allowBlank="1" errorTitle="Enter time in HH:MM format" promptTitle="Enter Time in HH:MM format (24h)" prompt="Please enter time in HH:MM format (24h)_x000a_" sqref="E13:E24"/>
    <dataValidation type="date" allowBlank="1" showErrorMessage="1" prompt="Please enter date in format DD/MM/YYYY" sqref="C13:C24">
      <formula1>36526</formula1>
      <formula2>2958465</formula2>
    </dataValidation>
  </dataValidations>
  <pageMargins left="0" right="0" top="0" bottom="0" header="0.25" footer="0.24"/>
  <pageSetup paperSize="9" scale="36" orientation="landscape" horizontalDpi="1200" verticalDpi="1200" r:id="rId1"/>
  <headerFooter alignWithMargins="0">
    <oddFooter>Mileage Claim Form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
  <sheetViews>
    <sheetView workbookViewId="0">
      <selection activeCell="B6" sqref="B6"/>
    </sheetView>
  </sheetViews>
  <sheetFormatPr defaultRowHeight="13.2" x14ac:dyDescent="0.25"/>
  <cols>
    <col min="1" max="1" width="10.109375" bestFit="1" customWidth="1"/>
  </cols>
  <sheetData>
    <row r="1" spans="1:2" ht="15.6" x14ac:dyDescent="0.3">
      <c r="A1" s="231" t="s">
        <v>133</v>
      </c>
      <c r="B1" s="20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13"/>
  <sheetViews>
    <sheetView workbookViewId="0">
      <selection activeCell="C12" sqref="C12"/>
    </sheetView>
  </sheetViews>
  <sheetFormatPr defaultRowHeight="13.2" x14ac:dyDescent="0.25"/>
  <cols>
    <col min="6" max="6" width="12.6640625" customWidth="1"/>
  </cols>
  <sheetData>
    <row r="1" spans="2:14" x14ac:dyDescent="0.25">
      <c r="B1" s="200" t="s">
        <v>90</v>
      </c>
      <c r="C1" s="200" t="s">
        <v>99</v>
      </c>
      <c r="D1" s="200" t="s">
        <v>92</v>
      </c>
      <c r="E1" s="200" t="s">
        <v>93</v>
      </c>
      <c r="F1" s="200" t="s">
        <v>95</v>
      </c>
      <c r="G1" s="200" t="s">
        <v>96</v>
      </c>
      <c r="J1" s="200" t="s">
        <v>97</v>
      </c>
      <c r="K1" s="200" t="s">
        <v>98</v>
      </c>
      <c r="N1" s="200" t="s">
        <v>91</v>
      </c>
    </row>
    <row r="2" spans="2:14" x14ac:dyDescent="0.25">
      <c r="B2" s="200" t="s">
        <v>87</v>
      </c>
      <c r="C2" s="200" t="s">
        <v>88</v>
      </c>
      <c r="D2" s="200" t="s">
        <v>89</v>
      </c>
      <c r="E2" s="200" t="s">
        <v>94</v>
      </c>
      <c r="J2">
        <v>0.44</v>
      </c>
      <c r="K2">
        <v>0.8</v>
      </c>
      <c r="N2">
        <v>1340</v>
      </c>
    </row>
    <row r="3" spans="2:14" x14ac:dyDescent="0.25">
      <c r="B3">
        <v>100</v>
      </c>
      <c r="C3">
        <f>$N$2+SUM($B$1:$B2)</f>
        <v>1340</v>
      </c>
      <c r="D3">
        <v>1500</v>
      </c>
      <c r="E3">
        <v>2500</v>
      </c>
      <c r="F3">
        <f>IF(C3&gt;=D3,B3,IF(B3+C3&lt;D3,0,B3+C3-D3))</f>
        <v>0</v>
      </c>
      <c r="G3">
        <f>B3-IF(C3&gt;=D3,B3,IF(B3+C3&lt;D3,0,B3+C3-D3))</f>
        <v>100</v>
      </c>
      <c r="J3">
        <f>IF(C3&gt;=D3,B3,IF(B3+C3&lt;D3,0,B3+C3-D3))*$K$2+(B3-IF(C3&gt;=D3,B3,IF(B3+C3&lt;D3,0,B3+C3-D3)))*$J$2</f>
        <v>44</v>
      </c>
    </row>
    <row r="4" spans="2:14" x14ac:dyDescent="0.25">
      <c r="B4">
        <v>100</v>
      </c>
      <c r="C4">
        <f>$N$2+SUM($B$1:$B3)</f>
        <v>1440</v>
      </c>
      <c r="D4">
        <v>1500</v>
      </c>
      <c r="F4">
        <f t="shared" ref="F4:F5" si="0">IF(C4&gt;=D4,B4,IF(B4+C4&lt;D4,0,B4+C4-D4))</f>
        <v>40</v>
      </c>
      <c r="G4">
        <f t="shared" ref="G4:G5" si="1">B4-IF(C4&gt;=D4,B4,IF(B4+C4&lt;D4,0,B4+C4-D4))</f>
        <v>60</v>
      </c>
      <c r="J4">
        <f t="shared" ref="J4:J8" si="2">IF(C4&gt;=D4,B4,IF(B4+C4&lt;D4,0,B4+C4-D4))*$K$2+(B4-IF(C4&gt;=D4,B4,IF(B4+C4&lt;D4,0,B4+C4-D4)))*$J$2</f>
        <v>58.4</v>
      </c>
    </row>
    <row r="5" spans="2:14" x14ac:dyDescent="0.25">
      <c r="B5">
        <v>100</v>
      </c>
      <c r="C5">
        <f>$N$2+SUM($B$1:$B4)</f>
        <v>1540</v>
      </c>
      <c r="D5">
        <v>1500</v>
      </c>
      <c r="F5">
        <f t="shared" si="0"/>
        <v>100</v>
      </c>
      <c r="G5">
        <f t="shared" si="1"/>
        <v>0</v>
      </c>
      <c r="J5">
        <f t="shared" si="2"/>
        <v>80</v>
      </c>
    </row>
    <row r="6" spans="2:14" x14ac:dyDescent="0.25">
      <c r="J6">
        <f t="shared" si="2"/>
        <v>0</v>
      </c>
    </row>
    <row r="7" spans="2:14" x14ac:dyDescent="0.25">
      <c r="J7">
        <f t="shared" si="2"/>
        <v>0</v>
      </c>
    </row>
    <row r="8" spans="2:14" x14ac:dyDescent="0.25">
      <c r="J8">
        <f t="shared" si="2"/>
        <v>0</v>
      </c>
    </row>
    <row r="9" spans="2:14" x14ac:dyDescent="0.25">
      <c r="J9">
        <f t="shared" ref="J9:J11" si="3">IF(C9&gt;=D9,B9,IF(B9+C9-D9&gt;0,B9+C9-D9,0))*$K$2+(B9-IF(C9&gt;=D9,B9,IF(B9+C9-D9&gt;0,B9+C9-D9,0)))*$J$2</f>
        <v>0</v>
      </c>
    </row>
    <row r="10" spans="2:14" x14ac:dyDescent="0.25">
      <c r="J10">
        <f t="shared" si="3"/>
        <v>0</v>
      </c>
    </row>
    <row r="11" spans="2:14" x14ac:dyDescent="0.25">
      <c r="J11">
        <f t="shared" si="3"/>
        <v>0</v>
      </c>
    </row>
    <row r="12" spans="2:14" x14ac:dyDescent="0.25">
      <c r="C12" s="201" t="s">
        <v>101</v>
      </c>
    </row>
    <row r="13" spans="2:14" x14ac:dyDescent="0.25">
      <c r="C13" s="20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opLeftCell="C1" workbookViewId="0">
      <selection activeCell="I12" sqref="I12"/>
    </sheetView>
  </sheetViews>
  <sheetFormatPr defaultRowHeight="13.2" x14ac:dyDescent="0.25"/>
  <cols>
    <col min="1" max="2" width="33.33203125" customWidth="1"/>
    <col min="4" max="4" width="54.88671875" customWidth="1"/>
    <col min="5" max="5" width="29.5546875" customWidth="1"/>
    <col min="6" max="7" width="16.44140625" customWidth="1"/>
    <col min="8" max="8" width="14.44140625" customWidth="1"/>
    <col min="9" max="10" width="11.44140625" customWidth="1"/>
    <col min="11" max="11" width="10.109375" bestFit="1" customWidth="1"/>
    <col min="15" max="15" width="16.44140625" customWidth="1"/>
    <col min="16" max="16" width="48.88671875" customWidth="1"/>
    <col min="17" max="17" width="41.6640625" customWidth="1"/>
    <col min="18" max="19" width="5.33203125" customWidth="1"/>
    <col min="20" max="20" width="43.6640625" customWidth="1"/>
    <col min="21" max="21" width="13.88671875" customWidth="1"/>
    <col min="22" max="22" width="19.6640625" customWidth="1"/>
    <col min="23" max="23" width="19.44140625" customWidth="1"/>
  </cols>
  <sheetData>
    <row r="1" spans="1:23" ht="22.8" x14ac:dyDescent="0.4">
      <c r="A1" s="1" t="s">
        <v>65</v>
      </c>
      <c r="B1" s="1" t="s">
        <v>112</v>
      </c>
      <c r="C1" s="200" t="s">
        <v>118</v>
      </c>
      <c r="D1" s="207" t="s">
        <v>109</v>
      </c>
      <c r="E1" s="209">
        <v>42552</v>
      </c>
      <c r="F1" s="208">
        <v>43647</v>
      </c>
      <c r="G1" s="208">
        <v>44531</v>
      </c>
      <c r="H1" s="208">
        <v>44805</v>
      </c>
      <c r="I1" s="208">
        <v>45274</v>
      </c>
      <c r="J1" s="208">
        <v>2958435</v>
      </c>
      <c r="P1" s="105"/>
      <c r="Q1" s="105" t="s">
        <v>82</v>
      </c>
      <c r="R1" s="106"/>
      <c r="S1" s="106"/>
      <c r="U1" s="223" t="s">
        <v>124</v>
      </c>
      <c r="V1" s="224">
        <f ca="1">IF($P$14&lt;V3,3,999)</f>
        <v>999</v>
      </c>
      <c r="W1" s="224">
        <f ca="1">IF($P$13&lt;W3,4,999)</f>
        <v>4</v>
      </c>
    </row>
    <row r="2" spans="1:23" ht="23.4" thickBot="1" x14ac:dyDescent="0.45">
      <c r="A2" s="218" t="s">
        <v>66</v>
      </c>
      <c r="B2" s="218" t="s">
        <v>114</v>
      </c>
      <c r="C2" s="200" t="s">
        <v>119</v>
      </c>
      <c r="D2" s="207"/>
      <c r="E2" s="209"/>
      <c r="F2" s="208"/>
      <c r="G2" s="208"/>
      <c r="H2" s="208"/>
      <c r="I2" s="208"/>
      <c r="J2" s="208"/>
      <c r="P2" s="105" t="str">
        <f>'Claim Form'!G28</f>
        <v>Band 1</v>
      </c>
      <c r="Q2" s="105" t="str">
        <f>'Claim Form'!H28</f>
        <v>Band 2</v>
      </c>
      <c r="R2" s="106"/>
      <c r="S2" s="106"/>
      <c r="T2" s="106"/>
      <c r="U2" s="224" t="s">
        <v>125</v>
      </c>
      <c r="V2" s="224">
        <f ca="1">IF($P$13&lt;V3,3,999)</f>
        <v>999</v>
      </c>
      <c r="W2" s="224">
        <f ca="1">IF($P$13&lt;W3,4,999)</f>
        <v>4</v>
      </c>
    </row>
    <row r="3" spans="1:23" ht="54.6" x14ac:dyDescent="0.4">
      <c r="A3" s="218" t="s">
        <v>67</v>
      </c>
      <c r="B3" s="218" t="s">
        <v>113</v>
      </c>
      <c r="C3" s="200"/>
      <c r="E3" s="203" t="s">
        <v>102</v>
      </c>
      <c r="F3" s="203" t="s">
        <v>102</v>
      </c>
      <c r="G3" s="205" t="s">
        <v>102</v>
      </c>
      <c r="H3" s="205" t="s">
        <v>137</v>
      </c>
      <c r="I3" s="210" t="s">
        <v>110</v>
      </c>
      <c r="J3" s="210" t="s">
        <v>110</v>
      </c>
      <c r="P3" s="105"/>
      <c r="Q3" s="105"/>
      <c r="R3" s="106"/>
      <c r="S3" s="106"/>
      <c r="T3" s="106"/>
      <c r="U3" s="105" t="s">
        <v>85</v>
      </c>
      <c r="V3" s="222">
        <v>44805</v>
      </c>
      <c r="W3" s="222">
        <v>2958465</v>
      </c>
    </row>
    <row r="4" spans="1:23" ht="73.2" x14ac:dyDescent="0.4">
      <c r="A4" s="1" t="s">
        <v>68</v>
      </c>
      <c r="B4" s="1"/>
      <c r="D4" t="s">
        <v>111</v>
      </c>
      <c r="E4" s="204" t="s">
        <v>103</v>
      </c>
      <c r="F4" s="204" t="s">
        <v>103</v>
      </c>
      <c r="G4" s="206" t="s">
        <v>104</v>
      </c>
      <c r="H4" s="206" t="s">
        <v>127</v>
      </c>
      <c r="I4" t="s">
        <v>136</v>
      </c>
      <c r="K4" s="208"/>
      <c r="P4" s="105"/>
      <c r="Q4" s="105"/>
      <c r="R4" s="106"/>
      <c r="S4" s="106"/>
      <c r="T4" s="106" t="s">
        <v>71</v>
      </c>
      <c r="U4" s="105">
        <v>1500</v>
      </c>
      <c r="V4" s="188">
        <v>37.950000000000003</v>
      </c>
      <c r="W4" s="188">
        <v>41.8</v>
      </c>
    </row>
    <row r="5" spans="1:23" ht="22.8" x14ac:dyDescent="0.4">
      <c r="D5" s="211" t="s">
        <v>105</v>
      </c>
      <c r="E5" s="212">
        <v>14.01</v>
      </c>
      <c r="F5" s="213">
        <v>15.41</v>
      </c>
      <c r="G5" s="214">
        <v>16.29</v>
      </c>
      <c r="H5" s="214">
        <v>16.29</v>
      </c>
      <c r="I5" s="220">
        <v>17.920000000000002</v>
      </c>
      <c r="P5" s="105"/>
      <c r="Q5" s="105"/>
      <c r="R5" s="106"/>
      <c r="S5" s="106"/>
      <c r="T5" s="106" t="s">
        <v>72</v>
      </c>
      <c r="U5" s="105">
        <v>5500</v>
      </c>
      <c r="V5" s="188">
        <v>70</v>
      </c>
      <c r="W5" s="188">
        <v>72.64</v>
      </c>
    </row>
    <row r="6" spans="1:23" ht="22.8" x14ac:dyDescent="0.4">
      <c r="D6" s="211" t="s">
        <v>106</v>
      </c>
      <c r="E6" s="212">
        <v>33.61</v>
      </c>
      <c r="F6" s="213">
        <v>36.97</v>
      </c>
      <c r="G6" s="214">
        <v>39.08</v>
      </c>
      <c r="H6" s="214">
        <v>39.08</v>
      </c>
      <c r="I6" s="220">
        <v>42.99</v>
      </c>
      <c r="P6" s="105" t="s">
        <v>70</v>
      </c>
      <c r="Q6" s="105"/>
      <c r="R6" s="106"/>
      <c r="S6" s="106"/>
      <c r="T6" s="106" t="s">
        <v>121</v>
      </c>
      <c r="U6" s="105">
        <v>25000</v>
      </c>
      <c r="V6" s="188">
        <v>27.55</v>
      </c>
      <c r="W6" s="188">
        <v>31.78</v>
      </c>
    </row>
    <row r="7" spans="1:23" ht="22.8" x14ac:dyDescent="0.4">
      <c r="D7" s="211" t="s">
        <v>107</v>
      </c>
      <c r="E7" s="212">
        <v>133</v>
      </c>
      <c r="F7" s="213">
        <v>147</v>
      </c>
      <c r="G7" s="214">
        <v>147</v>
      </c>
      <c r="H7" s="214">
        <v>167</v>
      </c>
      <c r="I7" s="220">
        <v>195</v>
      </c>
      <c r="P7" s="186" t="str">
        <f>CONCATENATE(P2," ",'Claim Form'!D7)</f>
        <v>Band 1 1500 CC and over</v>
      </c>
      <c r="Q7" s="186" t="str">
        <f>CONCATENATE(Q2," ",'Claim Form'!D7)</f>
        <v>Band 2 1500 CC and over</v>
      </c>
      <c r="R7" s="106"/>
      <c r="S7" s="106"/>
      <c r="T7" s="106" t="s">
        <v>73</v>
      </c>
      <c r="U7" s="105"/>
      <c r="V7" s="188">
        <v>21.36</v>
      </c>
      <c r="W7" s="188">
        <v>20.56</v>
      </c>
    </row>
    <row r="8" spans="1:23" ht="22.8" x14ac:dyDescent="0.4">
      <c r="D8" s="211" t="s">
        <v>130</v>
      </c>
      <c r="E8" s="212">
        <v>167</v>
      </c>
      <c r="F8" s="214">
        <f>147+36.97</f>
        <v>183.97</v>
      </c>
      <c r="G8" s="214">
        <f>147+39.08</f>
        <v>186.07999999999998</v>
      </c>
      <c r="H8" s="214">
        <f>167+39.08</f>
        <v>206.07999999999998</v>
      </c>
      <c r="I8">
        <f>I7+I6</f>
        <v>237.99</v>
      </c>
      <c r="P8" s="105" t="s">
        <v>18</v>
      </c>
      <c r="Q8" s="105" t="s">
        <v>84</v>
      </c>
      <c r="R8" s="106"/>
      <c r="S8" s="106"/>
      <c r="T8" s="106" t="s">
        <v>74</v>
      </c>
      <c r="U8" s="105">
        <v>1500</v>
      </c>
      <c r="V8" s="105">
        <v>39.86</v>
      </c>
      <c r="W8" s="105">
        <v>43.4</v>
      </c>
    </row>
    <row r="9" spans="1:23" ht="22.8" x14ac:dyDescent="0.4">
      <c r="D9" s="211" t="s">
        <v>108</v>
      </c>
      <c r="E9" s="215">
        <v>120.36</v>
      </c>
      <c r="F9" s="213">
        <v>132.30000000000001</v>
      </c>
      <c r="G9" s="214">
        <v>132.30000000000001</v>
      </c>
      <c r="H9" s="214">
        <v>150.30000000000001</v>
      </c>
      <c r="I9" s="220">
        <v>175.5</v>
      </c>
      <c r="P9" s="189">
        <f ca="1">VLOOKUP(P7,rate,Q13,FALSE)</f>
        <v>51.82</v>
      </c>
      <c r="Q9" s="189">
        <f ca="1">VLOOKUP(Q7,rate,Q13,FALSE)</f>
        <v>90.63</v>
      </c>
      <c r="R9" s="106"/>
      <c r="S9" s="106"/>
      <c r="T9" s="106" t="s">
        <v>75</v>
      </c>
      <c r="U9" s="105">
        <v>5500</v>
      </c>
      <c r="V9" s="105">
        <v>73.209999999999994</v>
      </c>
      <c r="W9" s="105">
        <v>79.180000000000007</v>
      </c>
    </row>
    <row r="10" spans="1:23" ht="22.8" x14ac:dyDescent="0.4">
      <c r="D10" s="211" t="s">
        <v>131</v>
      </c>
      <c r="E10" s="215">
        <v>66.87</v>
      </c>
      <c r="F10" s="213">
        <v>73.5</v>
      </c>
      <c r="G10" s="214">
        <v>73.5</v>
      </c>
      <c r="H10" s="214">
        <v>83.5</v>
      </c>
      <c r="I10" s="236">
        <v>97.5</v>
      </c>
      <c r="P10" s="105" t="s">
        <v>86</v>
      </c>
      <c r="Q10" s="105" t="s">
        <v>86</v>
      </c>
      <c r="R10" s="106"/>
      <c r="S10" s="106"/>
      <c r="T10" s="106" t="s">
        <v>76</v>
      </c>
      <c r="U10" s="105">
        <v>25000</v>
      </c>
      <c r="V10" s="105">
        <v>29.03</v>
      </c>
      <c r="W10" s="105">
        <v>31.79</v>
      </c>
    </row>
    <row r="11" spans="1:23" ht="22.8" x14ac:dyDescent="0.4">
      <c r="D11" s="211" t="s">
        <v>120</v>
      </c>
      <c r="E11" s="193">
        <v>0</v>
      </c>
      <c r="F11" s="219">
        <v>0</v>
      </c>
      <c r="G11" s="220">
        <v>0</v>
      </c>
      <c r="H11" s="220">
        <v>0</v>
      </c>
      <c r="I11" s="236">
        <v>0</v>
      </c>
      <c r="P11" s="189">
        <f>VLOOKUP(P7,$T$4:$V$15,2,FALSE)</f>
        <v>1500</v>
      </c>
      <c r="Q11" s="189">
        <f>VLOOKUP(Q7,$T$4:$V$15,2,FALSE)</f>
        <v>5500</v>
      </c>
      <c r="R11" s="106"/>
      <c r="S11" s="106"/>
      <c r="T11" s="106" t="s">
        <v>77</v>
      </c>
      <c r="U11" s="105"/>
      <c r="V11" s="105">
        <v>22.23</v>
      </c>
      <c r="W11" s="105">
        <v>23.85</v>
      </c>
    </row>
    <row r="12" spans="1:23" ht="22.8" x14ac:dyDescent="0.4">
      <c r="D12" s="227" t="s">
        <v>128</v>
      </c>
      <c r="E12" s="228">
        <f>E7+E5</f>
        <v>147.01</v>
      </c>
      <c r="F12" s="228">
        <f t="shared" ref="F12:I12" si="0">F7+F5</f>
        <v>162.41</v>
      </c>
      <c r="G12" s="228">
        <f t="shared" si="0"/>
        <v>163.29</v>
      </c>
      <c r="H12" s="228">
        <f t="shared" si="0"/>
        <v>183.29</v>
      </c>
      <c r="I12" s="228">
        <f t="shared" si="0"/>
        <v>212.92000000000002</v>
      </c>
      <c r="O12" s="223"/>
      <c r="P12" s="224"/>
      <c r="Q12" s="224" t="s">
        <v>123</v>
      </c>
      <c r="R12" s="106"/>
      <c r="S12" s="106"/>
      <c r="T12" s="106" t="s">
        <v>78</v>
      </c>
      <c r="U12" s="105">
        <v>1500</v>
      </c>
      <c r="V12" s="105">
        <v>44.79</v>
      </c>
      <c r="W12" s="105">
        <v>51.82</v>
      </c>
    </row>
    <row r="13" spans="1:23" ht="22.8" x14ac:dyDescent="0.4">
      <c r="D13" s="227" t="s">
        <v>129</v>
      </c>
      <c r="E13" s="228">
        <f>E7+E6</f>
        <v>166.61</v>
      </c>
      <c r="F13" s="228">
        <f t="shared" ref="F13:I13" si="1">F7+F6</f>
        <v>183.97</v>
      </c>
      <c r="G13" s="228">
        <f t="shared" si="1"/>
        <v>186.07999999999998</v>
      </c>
      <c r="H13" s="228">
        <f t="shared" si="1"/>
        <v>206.07999999999998</v>
      </c>
      <c r="I13" s="228">
        <f t="shared" si="1"/>
        <v>237.99</v>
      </c>
      <c r="O13" s="223" t="s">
        <v>122</v>
      </c>
      <c r="P13" s="225">
        <f ca="1">IF(MIN('Claim Form'!A13:A24)=0/1/1900,NOW(),MIN('Claim Form'!A13:A24))</f>
        <v>45322.532030324073</v>
      </c>
      <c r="Q13" s="224">
        <f ca="1">MIN(V1:Z1)</f>
        <v>4</v>
      </c>
      <c r="R13" s="106"/>
      <c r="S13" s="106"/>
      <c r="T13" s="106" t="s">
        <v>79</v>
      </c>
      <c r="U13" s="105">
        <v>5500</v>
      </c>
      <c r="V13" s="105">
        <v>83.53</v>
      </c>
      <c r="W13" s="105">
        <v>90.63</v>
      </c>
    </row>
    <row r="14" spans="1:23" ht="22.8" x14ac:dyDescent="0.4">
      <c r="O14" s="223" t="s">
        <v>126</v>
      </c>
      <c r="P14" s="225">
        <f ca="1">IF(MAX('Claim Form'!A13:A24)=0/1/1900,NOW(),MAX('Claim Form'!A13:A24))</f>
        <v>45322.532030324073</v>
      </c>
      <c r="Q14" s="224">
        <f ca="1">MIN(V2:Z2)</f>
        <v>4</v>
      </c>
      <c r="R14" s="106"/>
      <c r="S14" s="106"/>
      <c r="T14" s="106" t="s">
        <v>80</v>
      </c>
      <c r="U14" s="105">
        <v>25000</v>
      </c>
      <c r="V14" s="105">
        <v>32.21</v>
      </c>
      <c r="W14" s="105">
        <v>39.22</v>
      </c>
    </row>
    <row r="15" spans="1:23" ht="22.8" x14ac:dyDescent="0.4">
      <c r="T15" s="106" t="s">
        <v>81</v>
      </c>
      <c r="U15" s="105"/>
      <c r="V15" s="105">
        <v>25.85</v>
      </c>
      <c r="W15" s="105">
        <v>25.87</v>
      </c>
    </row>
    <row r="19" spans="1:2" x14ac:dyDescent="0.25">
      <c r="A19" s="202"/>
      <c r="B19" s="20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Claim Form</vt:lpstr>
      <vt:lpstr>Receipts</vt:lpstr>
      <vt:lpstr>Sheet1</vt:lpstr>
      <vt:lpstr>Lists and Rates</vt:lpstr>
      <vt:lpstr>engine</vt:lpstr>
      <vt:lpstr>KMSorMiles</vt:lpstr>
      <vt:lpstr>'Claim Form'!Print_Area</vt:lpstr>
      <vt:lpstr>rate</vt:lpstr>
      <vt:lpstr>ReturnJourney</vt:lpstr>
      <vt:lpstr>SubsistanceDef</vt:lpstr>
      <vt:lpstr>SubsistanceRates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2018-12-27T13:43:09Z</cp:lastPrinted>
  <dcterms:created xsi:type="dcterms:W3CDTF">1996-10-14T23:33:28Z</dcterms:created>
  <dcterms:modified xsi:type="dcterms:W3CDTF">2024-01-31T12:47:08Z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